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externalLinks/externalLink452.xml" ContentType="application/vnd.openxmlformats-officedocument.spreadsheetml.externalLink+xml"/>
  <Override PartName="/xl/externalLinks/externalLink453.xml" ContentType="application/vnd.openxmlformats-officedocument.spreadsheetml.externalLink+xml"/>
  <Override PartName="/xl/externalLinks/externalLink454.xml" ContentType="application/vnd.openxmlformats-officedocument.spreadsheetml.externalLink+xml"/>
  <Override PartName="/xl/externalLinks/externalLink455.xml" ContentType="application/vnd.openxmlformats-officedocument.spreadsheetml.externalLink+xml"/>
  <Override PartName="/xl/externalLinks/externalLink456.xml" ContentType="application/vnd.openxmlformats-officedocument.spreadsheetml.externalLink+xml"/>
  <Override PartName="/xl/externalLinks/externalLink457.xml" ContentType="application/vnd.openxmlformats-officedocument.spreadsheetml.externalLink+xml"/>
  <Override PartName="/xl/externalLinks/externalLink458.xml" ContentType="application/vnd.openxmlformats-officedocument.spreadsheetml.externalLink+xml"/>
  <Override PartName="/xl/externalLinks/externalLink459.xml" ContentType="application/vnd.openxmlformats-officedocument.spreadsheetml.externalLink+xml"/>
  <Override PartName="/xl/externalLinks/externalLink460.xml" ContentType="application/vnd.openxmlformats-officedocument.spreadsheetml.externalLink+xml"/>
  <Override PartName="/xl/externalLinks/externalLink461.xml" ContentType="application/vnd.openxmlformats-officedocument.spreadsheetml.externalLink+xml"/>
  <Override PartName="/xl/externalLinks/externalLink462.xml" ContentType="application/vnd.openxmlformats-officedocument.spreadsheetml.externalLink+xml"/>
  <Override PartName="/xl/externalLinks/externalLink463.xml" ContentType="application/vnd.openxmlformats-officedocument.spreadsheetml.externalLink+xml"/>
  <Override PartName="/xl/externalLinks/externalLink464.xml" ContentType="application/vnd.openxmlformats-officedocument.spreadsheetml.externalLink+xml"/>
  <Override PartName="/xl/externalLinks/externalLink465.xml" ContentType="application/vnd.openxmlformats-officedocument.spreadsheetml.externalLink+xml"/>
  <Override PartName="/xl/externalLinks/externalLink466.xml" ContentType="application/vnd.openxmlformats-officedocument.spreadsheetml.externalLink+xml"/>
  <Override PartName="/xl/externalLinks/externalLink467.xml" ContentType="application/vnd.openxmlformats-officedocument.spreadsheetml.externalLink+xml"/>
  <Override PartName="/xl/externalLinks/externalLink468.xml" ContentType="application/vnd.openxmlformats-officedocument.spreadsheetml.externalLink+xml"/>
  <Override PartName="/xl/externalLinks/externalLink469.xml" ContentType="application/vnd.openxmlformats-officedocument.spreadsheetml.externalLink+xml"/>
  <Override PartName="/xl/externalLinks/externalLink470.xml" ContentType="application/vnd.openxmlformats-officedocument.spreadsheetml.externalLink+xml"/>
  <Override PartName="/xl/externalLinks/externalLink471.xml" ContentType="application/vnd.openxmlformats-officedocument.spreadsheetml.externalLink+xml"/>
  <Override PartName="/xl/externalLinks/externalLink472.xml" ContentType="application/vnd.openxmlformats-officedocument.spreadsheetml.externalLink+xml"/>
  <Override PartName="/xl/externalLinks/externalLink473.xml" ContentType="application/vnd.openxmlformats-officedocument.spreadsheetml.externalLink+xml"/>
  <Override PartName="/xl/externalLinks/externalLink474.xml" ContentType="application/vnd.openxmlformats-officedocument.spreadsheetml.externalLink+xml"/>
  <Override PartName="/xl/externalLinks/externalLink475.xml" ContentType="application/vnd.openxmlformats-officedocument.spreadsheetml.externalLink+xml"/>
  <Override PartName="/xl/externalLinks/externalLink476.xml" ContentType="application/vnd.openxmlformats-officedocument.spreadsheetml.externalLink+xml"/>
  <Override PartName="/xl/externalLinks/externalLink477.xml" ContentType="application/vnd.openxmlformats-officedocument.spreadsheetml.externalLink+xml"/>
  <Override PartName="/xl/externalLinks/externalLink478.xml" ContentType="application/vnd.openxmlformats-officedocument.spreadsheetml.externalLink+xml"/>
  <Override PartName="/xl/externalLinks/externalLink479.xml" ContentType="application/vnd.openxmlformats-officedocument.spreadsheetml.externalLink+xml"/>
  <Override PartName="/xl/externalLinks/externalLink480.xml" ContentType="application/vnd.openxmlformats-officedocument.spreadsheetml.externalLink+xml"/>
  <Override PartName="/xl/externalLinks/externalLink481.xml" ContentType="application/vnd.openxmlformats-officedocument.spreadsheetml.externalLink+xml"/>
  <Override PartName="/xl/externalLinks/externalLink482.xml" ContentType="application/vnd.openxmlformats-officedocument.spreadsheetml.externalLink+xml"/>
  <Override PartName="/xl/externalLinks/externalLink483.xml" ContentType="application/vnd.openxmlformats-officedocument.spreadsheetml.externalLink+xml"/>
  <Override PartName="/xl/externalLinks/externalLink484.xml" ContentType="application/vnd.openxmlformats-officedocument.spreadsheetml.externalLink+xml"/>
  <Override PartName="/xl/externalLinks/externalLink485.xml" ContentType="application/vnd.openxmlformats-officedocument.spreadsheetml.externalLink+xml"/>
  <Override PartName="/xl/externalLinks/externalLink486.xml" ContentType="application/vnd.openxmlformats-officedocument.spreadsheetml.externalLink+xml"/>
  <Override PartName="/xl/externalLinks/externalLink487.xml" ContentType="application/vnd.openxmlformats-officedocument.spreadsheetml.externalLink+xml"/>
  <Override PartName="/xl/externalLinks/externalLink488.xml" ContentType="application/vnd.openxmlformats-officedocument.spreadsheetml.externalLink+xml"/>
  <Override PartName="/xl/externalLinks/externalLink489.xml" ContentType="application/vnd.openxmlformats-officedocument.spreadsheetml.externalLink+xml"/>
  <Override PartName="/xl/externalLinks/externalLink490.xml" ContentType="application/vnd.openxmlformats-officedocument.spreadsheetml.externalLink+xml"/>
  <Override PartName="/xl/externalLinks/externalLink491.xml" ContentType="application/vnd.openxmlformats-officedocument.spreadsheetml.externalLink+xml"/>
  <Override PartName="/xl/externalLinks/externalLink492.xml" ContentType="application/vnd.openxmlformats-officedocument.spreadsheetml.externalLink+xml"/>
  <Override PartName="/xl/externalLinks/externalLink493.xml" ContentType="application/vnd.openxmlformats-officedocument.spreadsheetml.externalLink+xml"/>
  <Override PartName="/xl/externalLinks/externalLink494.xml" ContentType="application/vnd.openxmlformats-officedocument.spreadsheetml.externalLink+xml"/>
  <Override PartName="/xl/externalLinks/externalLink495.xml" ContentType="application/vnd.openxmlformats-officedocument.spreadsheetml.externalLink+xml"/>
  <Override PartName="/xl/externalLinks/externalLink496.xml" ContentType="application/vnd.openxmlformats-officedocument.spreadsheetml.externalLink+xml"/>
  <Override PartName="/xl/externalLinks/externalLink497.xml" ContentType="application/vnd.openxmlformats-officedocument.spreadsheetml.externalLink+xml"/>
  <Override PartName="/xl/externalLinks/externalLink498.xml" ContentType="application/vnd.openxmlformats-officedocument.spreadsheetml.externalLink+xml"/>
  <Override PartName="/xl/externalLinks/externalLink499.xml" ContentType="application/vnd.openxmlformats-officedocument.spreadsheetml.externalLink+xml"/>
  <Override PartName="/xl/externalLinks/externalLink500.xml" ContentType="application/vnd.openxmlformats-officedocument.spreadsheetml.externalLink+xml"/>
  <Override PartName="/xl/externalLinks/externalLink501.xml" ContentType="application/vnd.openxmlformats-officedocument.spreadsheetml.externalLink+xml"/>
  <Override PartName="/xl/externalLinks/externalLink502.xml" ContentType="application/vnd.openxmlformats-officedocument.spreadsheetml.externalLink+xml"/>
  <Override PartName="/xl/externalLinks/externalLink503.xml" ContentType="application/vnd.openxmlformats-officedocument.spreadsheetml.externalLink+xml"/>
  <Override PartName="/xl/externalLinks/externalLink504.xml" ContentType="application/vnd.openxmlformats-officedocument.spreadsheetml.externalLink+xml"/>
  <Override PartName="/xl/externalLinks/externalLink505.xml" ContentType="application/vnd.openxmlformats-officedocument.spreadsheetml.externalLink+xml"/>
  <Override PartName="/xl/externalLinks/externalLink506.xml" ContentType="application/vnd.openxmlformats-officedocument.spreadsheetml.externalLink+xml"/>
  <Override PartName="/xl/externalLinks/externalLink507.xml" ContentType="application/vnd.openxmlformats-officedocument.spreadsheetml.externalLink+xml"/>
  <Override PartName="/xl/externalLinks/externalLink508.xml" ContentType="application/vnd.openxmlformats-officedocument.spreadsheetml.externalLink+xml"/>
  <Override PartName="/xl/externalLinks/externalLink509.xml" ContentType="application/vnd.openxmlformats-officedocument.spreadsheetml.externalLink+xml"/>
  <Override PartName="/xl/externalLinks/externalLink510.xml" ContentType="application/vnd.openxmlformats-officedocument.spreadsheetml.externalLink+xml"/>
  <Override PartName="/xl/externalLinks/externalLink511.xml" ContentType="application/vnd.openxmlformats-officedocument.spreadsheetml.externalLink+xml"/>
  <Override PartName="/xl/externalLinks/externalLink512.xml" ContentType="application/vnd.openxmlformats-officedocument.spreadsheetml.externalLink+xml"/>
  <Override PartName="/xl/externalLinks/externalLink513.xml" ContentType="application/vnd.openxmlformats-officedocument.spreadsheetml.externalLink+xml"/>
  <Override PartName="/xl/externalLinks/externalLink514.xml" ContentType="application/vnd.openxmlformats-officedocument.spreadsheetml.externalLink+xml"/>
  <Override PartName="/xl/externalLinks/externalLink515.xml" ContentType="application/vnd.openxmlformats-officedocument.spreadsheetml.externalLink+xml"/>
  <Override PartName="/xl/externalLinks/externalLink516.xml" ContentType="application/vnd.openxmlformats-officedocument.spreadsheetml.externalLink+xml"/>
  <Override PartName="/xl/externalLinks/externalLink517.xml" ContentType="application/vnd.openxmlformats-officedocument.spreadsheetml.externalLink+xml"/>
  <Override PartName="/xl/externalLinks/externalLink518.xml" ContentType="application/vnd.openxmlformats-officedocument.spreadsheetml.externalLink+xml"/>
  <Override PartName="/xl/externalLinks/externalLink519.xml" ContentType="application/vnd.openxmlformats-officedocument.spreadsheetml.externalLink+xml"/>
  <Override PartName="/xl/externalLinks/externalLink520.xml" ContentType="application/vnd.openxmlformats-officedocument.spreadsheetml.externalLink+xml"/>
  <Override PartName="/xl/externalLinks/externalLink521.xml" ContentType="application/vnd.openxmlformats-officedocument.spreadsheetml.externalLink+xml"/>
  <Override PartName="/xl/externalLinks/externalLink522.xml" ContentType="application/vnd.openxmlformats-officedocument.spreadsheetml.externalLink+xml"/>
  <Override PartName="/xl/externalLinks/externalLink523.xml" ContentType="application/vnd.openxmlformats-officedocument.spreadsheetml.externalLink+xml"/>
  <Override PartName="/xl/externalLinks/externalLink524.xml" ContentType="application/vnd.openxmlformats-officedocument.spreadsheetml.externalLink+xml"/>
  <Override PartName="/xl/externalLinks/externalLink525.xml" ContentType="application/vnd.openxmlformats-officedocument.spreadsheetml.externalLink+xml"/>
  <Override PartName="/xl/externalLinks/externalLink526.xml" ContentType="application/vnd.openxmlformats-officedocument.spreadsheetml.externalLink+xml"/>
  <Override PartName="/xl/externalLinks/externalLink527.xml" ContentType="application/vnd.openxmlformats-officedocument.spreadsheetml.externalLink+xml"/>
  <Override PartName="/xl/externalLinks/externalLink528.xml" ContentType="application/vnd.openxmlformats-officedocument.spreadsheetml.externalLink+xml"/>
  <Override PartName="/xl/externalLinks/externalLink529.xml" ContentType="application/vnd.openxmlformats-officedocument.spreadsheetml.externalLink+xml"/>
  <Override PartName="/xl/externalLinks/externalLink530.xml" ContentType="application/vnd.openxmlformats-officedocument.spreadsheetml.externalLink+xml"/>
  <Override PartName="/xl/externalLinks/externalLink531.xml" ContentType="application/vnd.openxmlformats-officedocument.spreadsheetml.externalLink+xml"/>
  <Override PartName="/xl/externalLinks/externalLink532.xml" ContentType="application/vnd.openxmlformats-officedocument.spreadsheetml.externalLink+xml"/>
  <Override PartName="/xl/externalLinks/externalLink533.xml" ContentType="application/vnd.openxmlformats-officedocument.spreadsheetml.externalLink+xml"/>
  <Override PartName="/xl/externalLinks/externalLink534.xml" ContentType="application/vnd.openxmlformats-officedocument.spreadsheetml.externalLink+xml"/>
  <Override PartName="/xl/externalLinks/externalLink535.xml" ContentType="application/vnd.openxmlformats-officedocument.spreadsheetml.externalLink+xml"/>
  <Override PartName="/xl/externalLinks/externalLink536.xml" ContentType="application/vnd.openxmlformats-officedocument.spreadsheetml.externalLink+xml"/>
  <Override PartName="/xl/externalLinks/externalLink537.xml" ContentType="application/vnd.openxmlformats-officedocument.spreadsheetml.externalLink+xml"/>
  <Override PartName="/xl/externalLinks/externalLink538.xml" ContentType="application/vnd.openxmlformats-officedocument.spreadsheetml.externalLink+xml"/>
  <Override PartName="/xl/externalLinks/externalLink539.xml" ContentType="application/vnd.openxmlformats-officedocument.spreadsheetml.externalLink+xml"/>
  <Override PartName="/xl/externalLinks/externalLink540.xml" ContentType="application/vnd.openxmlformats-officedocument.spreadsheetml.externalLink+xml"/>
  <Override PartName="/xl/externalLinks/externalLink541.xml" ContentType="application/vnd.openxmlformats-officedocument.spreadsheetml.externalLink+xml"/>
  <Override PartName="/xl/externalLinks/externalLink542.xml" ContentType="application/vnd.openxmlformats-officedocument.spreadsheetml.externalLink+xml"/>
  <Override PartName="/xl/externalLinks/externalLink543.xml" ContentType="application/vnd.openxmlformats-officedocument.spreadsheetml.externalLink+xml"/>
  <Override PartName="/xl/externalLinks/externalLink544.xml" ContentType="application/vnd.openxmlformats-officedocument.spreadsheetml.externalLink+xml"/>
  <Override PartName="/xl/externalLinks/externalLink545.xml" ContentType="application/vnd.openxmlformats-officedocument.spreadsheetml.externalLink+xml"/>
  <Override PartName="/xl/externalLinks/externalLink546.xml" ContentType="application/vnd.openxmlformats-officedocument.spreadsheetml.externalLink+xml"/>
  <Override PartName="/xl/externalLinks/externalLink547.xml" ContentType="application/vnd.openxmlformats-officedocument.spreadsheetml.externalLink+xml"/>
  <Override PartName="/xl/externalLinks/externalLink548.xml" ContentType="application/vnd.openxmlformats-officedocument.spreadsheetml.externalLink+xml"/>
  <Override PartName="/xl/externalLinks/externalLink549.xml" ContentType="application/vnd.openxmlformats-officedocument.spreadsheetml.externalLink+xml"/>
  <Override PartName="/xl/externalLinks/externalLink550.xml" ContentType="application/vnd.openxmlformats-officedocument.spreadsheetml.externalLink+xml"/>
  <Override PartName="/xl/externalLinks/externalLink551.xml" ContentType="application/vnd.openxmlformats-officedocument.spreadsheetml.externalLink+xml"/>
  <Override PartName="/xl/externalLinks/externalLink552.xml" ContentType="application/vnd.openxmlformats-officedocument.spreadsheetml.externalLink+xml"/>
  <Override PartName="/xl/externalLinks/externalLink553.xml" ContentType="application/vnd.openxmlformats-officedocument.spreadsheetml.externalLink+xml"/>
  <Override PartName="/xl/externalLinks/externalLink554.xml" ContentType="application/vnd.openxmlformats-officedocument.spreadsheetml.externalLink+xml"/>
  <Override PartName="/xl/externalLinks/externalLink555.xml" ContentType="application/vnd.openxmlformats-officedocument.spreadsheetml.externalLink+xml"/>
  <Override PartName="/xl/externalLinks/externalLink556.xml" ContentType="application/vnd.openxmlformats-officedocument.spreadsheetml.externalLink+xml"/>
  <Override PartName="/xl/externalLinks/externalLink557.xml" ContentType="application/vnd.openxmlformats-officedocument.spreadsheetml.externalLink+xml"/>
  <Override PartName="/xl/externalLinks/externalLink558.xml" ContentType="application/vnd.openxmlformats-officedocument.spreadsheetml.externalLink+xml"/>
  <Override PartName="/xl/externalLinks/externalLink559.xml" ContentType="application/vnd.openxmlformats-officedocument.spreadsheetml.externalLink+xml"/>
  <Override PartName="/xl/externalLinks/externalLink560.xml" ContentType="application/vnd.openxmlformats-officedocument.spreadsheetml.externalLink+xml"/>
  <Override PartName="/xl/externalLinks/externalLink561.xml" ContentType="application/vnd.openxmlformats-officedocument.spreadsheetml.externalLink+xml"/>
  <Override PartName="/xl/externalLinks/externalLink562.xml" ContentType="application/vnd.openxmlformats-officedocument.spreadsheetml.externalLink+xml"/>
  <Override PartName="/xl/externalLinks/externalLink563.xml" ContentType="application/vnd.openxmlformats-officedocument.spreadsheetml.externalLink+xml"/>
  <Override PartName="/xl/externalLinks/externalLink564.xml" ContentType="application/vnd.openxmlformats-officedocument.spreadsheetml.externalLink+xml"/>
  <Override PartName="/xl/externalLinks/externalLink565.xml" ContentType="application/vnd.openxmlformats-officedocument.spreadsheetml.externalLink+xml"/>
  <Override PartName="/xl/externalLinks/externalLink566.xml" ContentType="application/vnd.openxmlformats-officedocument.spreadsheetml.externalLink+xml"/>
  <Override PartName="/xl/externalLinks/externalLink567.xml" ContentType="application/vnd.openxmlformats-officedocument.spreadsheetml.externalLink+xml"/>
  <Override PartName="/xl/externalLinks/externalLink568.xml" ContentType="application/vnd.openxmlformats-officedocument.spreadsheetml.externalLink+xml"/>
  <Override PartName="/xl/externalLinks/externalLink569.xml" ContentType="application/vnd.openxmlformats-officedocument.spreadsheetml.externalLink+xml"/>
  <Override PartName="/xl/externalLinks/externalLink570.xml" ContentType="application/vnd.openxmlformats-officedocument.spreadsheetml.externalLink+xml"/>
  <Override PartName="/xl/externalLinks/externalLink571.xml" ContentType="application/vnd.openxmlformats-officedocument.spreadsheetml.externalLink+xml"/>
  <Override PartName="/xl/externalLinks/externalLink572.xml" ContentType="application/vnd.openxmlformats-officedocument.spreadsheetml.externalLink+xml"/>
  <Override PartName="/xl/externalLinks/externalLink573.xml" ContentType="application/vnd.openxmlformats-officedocument.spreadsheetml.externalLink+xml"/>
  <Override PartName="/xl/externalLinks/externalLink574.xml" ContentType="application/vnd.openxmlformats-officedocument.spreadsheetml.externalLink+xml"/>
  <Override PartName="/xl/externalLinks/externalLink575.xml" ContentType="application/vnd.openxmlformats-officedocument.spreadsheetml.externalLink+xml"/>
  <Override PartName="/xl/externalLinks/externalLink576.xml" ContentType="application/vnd.openxmlformats-officedocument.spreadsheetml.externalLink+xml"/>
  <Override PartName="/xl/externalLinks/externalLink577.xml" ContentType="application/vnd.openxmlformats-officedocument.spreadsheetml.externalLink+xml"/>
  <Override PartName="/xl/externalLinks/externalLink578.xml" ContentType="application/vnd.openxmlformats-officedocument.spreadsheetml.externalLink+xml"/>
  <Override PartName="/xl/externalLinks/externalLink579.xml" ContentType="application/vnd.openxmlformats-officedocument.spreadsheetml.externalLink+xml"/>
  <Override PartName="/xl/externalLinks/externalLink580.xml" ContentType="application/vnd.openxmlformats-officedocument.spreadsheetml.externalLink+xml"/>
  <Override PartName="/xl/externalLinks/externalLink581.xml" ContentType="application/vnd.openxmlformats-officedocument.spreadsheetml.externalLink+xml"/>
  <Override PartName="/xl/externalLinks/externalLink582.xml" ContentType="application/vnd.openxmlformats-officedocument.spreadsheetml.externalLink+xml"/>
  <Override PartName="/xl/externalLinks/externalLink583.xml" ContentType="application/vnd.openxmlformats-officedocument.spreadsheetml.externalLink+xml"/>
  <Override PartName="/xl/externalLinks/externalLink584.xml" ContentType="application/vnd.openxmlformats-officedocument.spreadsheetml.externalLink+xml"/>
  <Override PartName="/xl/externalLinks/externalLink585.xml" ContentType="application/vnd.openxmlformats-officedocument.spreadsheetml.externalLink+xml"/>
  <Override PartName="/xl/externalLinks/externalLink586.xml" ContentType="application/vnd.openxmlformats-officedocument.spreadsheetml.externalLink+xml"/>
  <Override PartName="/xl/externalLinks/externalLink587.xml" ContentType="application/vnd.openxmlformats-officedocument.spreadsheetml.externalLink+xml"/>
  <Override PartName="/xl/externalLinks/externalLink588.xml" ContentType="application/vnd.openxmlformats-officedocument.spreadsheetml.externalLink+xml"/>
  <Override PartName="/xl/externalLinks/externalLink589.xml" ContentType="application/vnd.openxmlformats-officedocument.spreadsheetml.externalLink+xml"/>
  <Override PartName="/xl/externalLinks/externalLink590.xml" ContentType="application/vnd.openxmlformats-officedocument.spreadsheetml.externalLink+xml"/>
  <Override PartName="/xl/externalLinks/externalLink591.xml" ContentType="application/vnd.openxmlformats-officedocument.spreadsheetml.externalLink+xml"/>
  <Override PartName="/xl/externalLinks/externalLink592.xml" ContentType="application/vnd.openxmlformats-officedocument.spreadsheetml.externalLink+xml"/>
  <Override PartName="/xl/externalLinks/externalLink593.xml" ContentType="application/vnd.openxmlformats-officedocument.spreadsheetml.externalLink+xml"/>
  <Override PartName="/xl/externalLinks/externalLink594.xml" ContentType="application/vnd.openxmlformats-officedocument.spreadsheetml.externalLink+xml"/>
  <Override PartName="/xl/externalLinks/externalLink595.xml" ContentType="application/vnd.openxmlformats-officedocument.spreadsheetml.externalLink+xml"/>
  <Override PartName="/xl/externalLinks/externalLink596.xml" ContentType="application/vnd.openxmlformats-officedocument.spreadsheetml.externalLink+xml"/>
  <Override PartName="/xl/externalLinks/externalLink597.xml" ContentType="application/vnd.openxmlformats-officedocument.spreadsheetml.externalLink+xml"/>
  <Override PartName="/xl/externalLinks/externalLink598.xml" ContentType="application/vnd.openxmlformats-officedocument.spreadsheetml.externalLink+xml"/>
  <Override PartName="/xl/externalLinks/externalLink599.xml" ContentType="application/vnd.openxmlformats-officedocument.spreadsheetml.externalLink+xml"/>
  <Override PartName="/xl/externalLinks/externalLink600.xml" ContentType="application/vnd.openxmlformats-officedocument.spreadsheetml.externalLink+xml"/>
  <Override PartName="/xl/externalLinks/externalLink601.xml" ContentType="application/vnd.openxmlformats-officedocument.spreadsheetml.externalLink+xml"/>
  <Override PartName="/xl/externalLinks/externalLink602.xml" ContentType="application/vnd.openxmlformats-officedocument.spreadsheetml.externalLink+xml"/>
  <Override PartName="/xl/externalLinks/externalLink603.xml" ContentType="application/vnd.openxmlformats-officedocument.spreadsheetml.externalLink+xml"/>
  <Override PartName="/xl/externalLinks/externalLink604.xml" ContentType="application/vnd.openxmlformats-officedocument.spreadsheetml.externalLink+xml"/>
  <Override PartName="/xl/externalLinks/externalLink605.xml" ContentType="application/vnd.openxmlformats-officedocument.spreadsheetml.externalLink+xml"/>
  <Override PartName="/xl/externalLinks/externalLink606.xml" ContentType="application/vnd.openxmlformats-officedocument.spreadsheetml.externalLink+xml"/>
  <Override PartName="/xl/externalLinks/externalLink607.xml" ContentType="application/vnd.openxmlformats-officedocument.spreadsheetml.externalLink+xml"/>
  <Override PartName="/xl/externalLinks/externalLink608.xml" ContentType="application/vnd.openxmlformats-officedocument.spreadsheetml.externalLink+xml"/>
  <Override PartName="/xl/externalLinks/externalLink609.xml" ContentType="application/vnd.openxmlformats-officedocument.spreadsheetml.externalLink+xml"/>
  <Override PartName="/xl/externalLinks/externalLink610.xml" ContentType="application/vnd.openxmlformats-officedocument.spreadsheetml.externalLink+xml"/>
  <Override PartName="/xl/externalLinks/externalLink611.xml" ContentType="application/vnd.openxmlformats-officedocument.spreadsheetml.externalLink+xml"/>
  <Override PartName="/xl/externalLinks/externalLink612.xml" ContentType="application/vnd.openxmlformats-officedocument.spreadsheetml.externalLink+xml"/>
  <Override PartName="/xl/externalLinks/externalLink613.xml" ContentType="application/vnd.openxmlformats-officedocument.spreadsheetml.externalLink+xml"/>
  <Override PartName="/xl/externalLinks/externalLink614.xml" ContentType="application/vnd.openxmlformats-officedocument.spreadsheetml.externalLink+xml"/>
  <Override PartName="/xl/externalLinks/externalLink615.xml" ContentType="application/vnd.openxmlformats-officedocument.spreadsheetml.externalLink+xml"/>
  <Override PartName="/xl/externalLinks/externalLink616.xml" ContentType="application/vnd.openxmlformats-officedocument.spreadsheetml.externalLink+xml"/>
  <Override PartName="/xl/externalLinks/externalLink617.xml" ContentType="application/vnd.openxmlformats-officedocument.spreadsheetml.externalLink+xml"/>
  <Override PartName="/xl/externalLinks/externalLink618.xml" ContentType="application/vnd.openxmlformats-officedocument.spreadsheetml.externalLink+xml"/>
  <Override PartName="/xl/externalLinks/externalLink619.xml" ContentType="application/vnd.openxmlformats-officedocument.spreadsheetml.externalLink+xml"/>
  <Override PartName="/xl/externalLinks/externalLink620.xml" ContentType="application/vnd.openxmlformats-officedocument.spreadsheetml.externalLink+xml"/>
  <Override PartName="/xl/externalLinks/externalLink621.xml" ContentType="application/vnd.openxmlformats-officedocument.spreadsheetml.externalLink+xml"/>
  <Override PartName="/xl/externalLinks/externalLink622.xml" ContentType="application/vnd.openxmlformats-officedocument.spreadsheetml.externalLink+xml"/>
  <Override PartName="/xl/externalLinks/externalLink623.xml" ContentType="application/vnd.openxmlformats-officedocument.spreadsheetml.externalLink+xml"/>
  <Override PartName="/xl/externalLinks/externalLink624.xml" ContentType="application/vnd.openxmlformats-officedocument.spreadsheetml.externalLink+xml"/>
  <Override PartName="/xl/externalLinks/externalLink625.xml" ContentType="application/vnd.openxmlformats-officedocument.spreadsheetml.externalLink+xml"/>
  <Override PartName="/xl/externalLinks/externalLink626.xml" ContentType="application/vnd.openxmlformats-officedocument.spreadsheetml.externalLink+xml"/>
  <Override PartName="/xl/externalLinks/externalLink627.xml" ContentType="application/vnd.openxmlformats-officedocument.spreadsheetml.externalLink+xml"/>
  <Override PartName="/xl/externalLinks/externalLink628.xml" ContentType="application/vnd.openxmlformats-officedocument.spreadsheetml.externalLink+xml"/>
  <Override PartName="/xl/externalLinks/externalLink629.xml" ContentType="application/vnd.openxmlformats-officedocument.spreadsheetml.externalLink+xml"/>
  <Override PartName="/xl/externalLinks/externalLink630.xml" ContentType="application/vnd.openxmlformats-officedocument.spreadsheetml.externalLink+xml"/>
  <Override PartName="/xl/externalLinks/externalLink631.xml" ContentType="application/vnd.openxmlformats-officedocument.spreadsheetml.externalLink+xml"/>
  <Override PartName="/xl/externalLinks/externalLink632.xml" ContentType="application/vnd.openxmlformats-officedocument.spreadsheetml.externalLink+xml"/>
  <Override PartName="/xl/externalLinks/externalLink633.xml" ContentType="application/vnd.openxmlformats-officedocument.spreadsheetml.externalLink+xml"/>
  <Override PartName="/xl/externalLinks/externalLink634.xml" ContentType="application/vnd.openxmlformats-officedocument.spreadsheetml.externalLink+xml"/>
  <Override PartName="/xl/externalLinks/externalLink635.xml" ContentType="application/vnd.openxmlformats-officedocument.spreadsheetml.externalLink+xml"/>
  <Override PartName="/xl/externalLinks/externalLink636.xml" ContentType="application/vnd.openxmlformats-officedocument.spreadsheetml.externalLink+xml"/>
  <Override PartName="/xl/externalLinks/externalLink637.xml" ContentType="application/vnd.openxmlformats-officedocument.spreadsheetml.externalLink+xml"/>
  <Override PartName="/xl/externalLinks/externalLink638.xml" ContentType="application/vnd.openxmlformats-officedocument.spreadsheetml.externalLink+xml"/>
  <Override PartName="/xl/externalLinks/externalLink639.xml" ContentType="application/vnd.openxmlformats-officedocument.spreadsheetml.externalLink+xml"/>
  <Override PartName="/xl/externalLinks/externalLink640.xml" ContentType="application/vnd.openxmlformats-officedocument.spreadsheetml.externalLink+xml"/>
  <Override PartName="/xl/externalLinks/externalLink641.xml" ContentType="application/vnd.openxmlformats-officedocument.spreadsheetml.externalLink+xml"/>
  <Override PartName="/xl/externalLinks/externalLink642.xml" ContentType="application/vnd.openxmlformats-officedocument.spreadsheetml.externalLink+xml"/>
  <Override PartName="/xl/externalLinks/externalLink643.xml" ContentType="application/vnd.openxmlformats-officedocument.spreadsheetml.externalLink+xml"/>
  <Override PartName="/xl/externalLinks/externalLink644.xml" ContentType="application/vnd.openxmlformats-officedocument.spreadsheetml.externalLink+xml"/>
  <Override PartName="/xl/externalLinks/externalLink645.xml" ContentType="application/vnd.openxmlformats-officedocument.spreadsheetml.externalLink+xml"/>
  <Override PartName="/xl/externalLinks/externalLink646.xml" ContentType="application/vnd.openxmlformats-officedocument.spreadsheetml.externalLink+xml"/>
  <Override PartName="/xl/externalLinks/externalLink647.xml" ContentType="application/vnd.openxmlformats-officedocument.spreadsheetml.externalLink+xml"/>
  <Override PartName="/xl/externalLinks/externalLink648.xml" ContentType="application/vnd.openxmlformats-officedocument.spreadsheetml.externalLink+xml"/>
  <Override PartName="/xl/externalLinks/externalLink649.xml" ContentType="application/vnd.openxmlformats-officedocument.spreadsheetml.externalLink+xml"/>
  <Override PartName="/xl/externalLinks/externalLink650.xml" ContentType="application/vnd.openxmlformats-officedocument.spreadsheetml.externalLink+xml"/>
  <Override PartName="/xl/externalLinks/externalLink651.xml" ContentType="application/vnd.openxmlformats-officedocument.spreadsheetml.externalLink+xml"/>
  <Override PartName="/xl/externalLinks/externalLink652.xml" ContentType="application/vnd.openxmlformats-officedocument.spreadsheetml.externalLink+xml"/>
  <Override PartName="/xl/externalLinks/externalLink653.xml" ContentType="application/vnd.openxmlformats-officedocument.spreadsheetml.externalLink+xml"/>
  <Override PartName="/xl/externalLinks/externalLink654.xml" ContentType="application/vnd.openxmlformats-officedocument.spreadsheetml.externalLink+xml"/>
  <Override PartName="/xl/externalLinks/externalLink655.xml" ContentType="application/vnd.openxmlformats-officedocument.spreadsheetml.externalLink+xml"/>
  <Override PartName="/xl/externalLinks/externalLink656.xml" ContentType="application/vnd.openxmlformats-officedocument.spreadsheetml.externalLink+xml"/>
  <Override PartName="/xl/externalLinks/externalLink657.xml" ContentType="application/vnd.openxmlformats-officedocument.spreadsheetml.externalLink+xml"/>
  <Override PartName="/xl/externalLinks/externalLink658.xml" ContentType="application/vnd.openxmlformats-officedocument.spreadsheetml.externalLink+xml"/>
  <Override PartName="/xl/externalLinks/externalLink659.xml" ContentType="application/vnd.openxmlformats-officedocument.spreadsheetml.externalLink+xml"/>
  <Override PartName="/xl/externalLinks/externalLink660.xml" ContentType="application/vnd.openxmlformats-officedocument.spreadsheetml.externalLink+xml"/>
  <Override PartName="/xl/externalLinks/externalLink661.xml" ContentType="application/vnd.openxmlformats-officedocument.spreadsheetml.externalLink+xml"/>
  <Override PartName="/xl/externalLinks/externalLink662.xml" ContentType="application/vnd.openxmlformats-officedocument.spreadsheetml.externalLink+xml"/>
  <Override PartName="/xl/externalLinks/externalLink663.xml" ContentType="application/vnd.openxmlformats-officedocument.spreadsheetml.externalLink+xml"/>
  <Override PartName="/xl/externalLinks/externalLink664.xml" ContentType="application/vnd.openxmlformats-officedocument.spreadsheetml.externalLink+xml"/>
  <Override PartName="/xl/externalLinks/externalLink665.xml" ContentType="application/vnd.openxmlformats-officedocument.spreadsheetml.externalLink+xml"/>
  <Override PartName="/xl/externalLinks/externalLink666.xml" ContentType="application/vnd.openxmlformats-officedocument.spreadsheetml.externalLink+xml"/>
  <Override PartName="/xl/externalLinks/externalLink667.xml" ContentType="application/vnd.openxmlformats-officedocument.spreadsheetml.externalLink+xml"/>
  <Override PartName="/xl/externalLinks/externalLink668.xml" ContentType="application/vnd.openxmlformats-officedocument.spreadsheetml.externalLink+xml"/>
  <Override PartName="/xl/externalLinks/externalLink669.xml" ContentType="application/vnd.openxmlformats-officedocument.spreadsheetml.externalLink+xml"/>
  <Override PartName="/xl/externalLinks/externalLink670.xml" ContentType="application/vnd.openxmlformats-officedocument.spreadsheetml.externalLink+xml"/>
  <Override PartName="/xl/externalLinks/externalLink671.xml" ContentType="application/vnd.openxmlformats-officedocument.spreadsheetml.externalLink+xml"/>
  <Override PartName="/xl/externalLinks/externalLink672.xml" ContentType="application/vnd.openxmlformats-officedocument.spreadsheetml.externalLink+xml"/>
  <Override PartName="/xl/externalLinks/externalLink673.xml" ContentType="application/vnd.openxmlformats-officedocument.spreadsheetml.externalLink+xml"/>
  <Override PartName="/xl/externalLinks/externalLink674.xml" ContentType="application/vnd.openxmlformats-officedocument.spreadsheetml.externalLink+xml"/>
  <Override PartName="/xl/externalLinks/externalLink675.xml" ContentType="application/vnd.openxmlformats-officedocument.spreadsheetml.externalLink+xml"/>
  <Override PartName="/xl/externalLinks/externalLink676.xml" ContentType="application/vnd.openxmlformats-officedocument.spreadsheetml.externalLink+xml"/>
  <Override PartName="/xl/externalLinks/externalLink677.xml" ContentType="application/vnd.openxmlformats-officedocument.spreadsheetml.externalLink+xml"/>
  <Override PartName="/xl/externalLinks/externalLink678.xml" ContentType="application/vnd.openxmlformats-officedocument.spreadsheetml.externalLink+xml"/>
  <Override PartName="/xl/externalLinks/externalLink679.xml" ContentType="application/vnd.openxmlformats-officedocument.spreadsheetml.externalLink+xml"/>
  <Override PartName="/xl/externalLinks/externalLink680.xml" ContentType="application/vnd.openxmlformats-officedocument.spreadsheetml.externalLink+xml"/>
  <Override PartName="/xl/externalLinks/externalLink681.xml" ContentType="application/vnd.openxmlformats-officedocument.spreadsheetml.externalLink+xml"/>
  <Override PartName="/xl/externalLinks/externalLink682.xml" ContentType="application/vnd.openxmlformats-officedocument.spreadsheetml.externalLink+xml"/>
  <Override PartName="/xl/externalLinks/externalLink683.xml" ContentType="application/vnd.openxmlformats-officedocument.spreadsheetml.externalLink+xml"/>
  <Override PartName="/xl/externalLinks/externalLink684.xml" ContentType="application/vnd.openxmlformats-officedocument.spreadsheetml.externalLink+xml"/>
  <Override PartName="/xl/externalLinks/externalLink685.xml" ContentType="application/vnd.openxmlformats-officedocument.spreadsheetml.externalLink+xml"/>
  <Override PartName="/xl/externalLinks/externalLink686.xml" ContentType="application/vnd.openxmlformats-officedocument.spreadsheetml.externalLink+xml"/>
  <Override PartName="/xl/externalLinks/externalLink687.xml" ContentType="application/vnd.openxmlformats-officedocument.spreadsheetml.externalLink+xml"/>
  <Override PartName="/xl/externalLinks/externalLink688.xml" ContentType="application/vnd.openxmlformats-officedocument.spreadsheetml.externalLink+xml"/>
  <Override PartName="/xl/externalLinks/externalLink689.xml" ContentType="application/vnd.openxmlformats-officedocument.spreadsheetml.externalLink+xml"/>
  <Override PartName="/xl/externalLinks/externalLink690.xml" ContentType="application/vnd.openxmlformats-officedocument.spreadsheetml.externalLink+xml"/>
  <Override PartName="/xl/externalLinks/externalLink691.xml" ContentType="application/vnd.openxmlformats-officedocument.spreadsheetml.externalLink+xml"/>
  <Override PartName="/xl/externalLinks/externalLink692.xml" ContentType="application/vnd.openxmlformats-officedocument.spreadsheetml.externalLink+xml"/>
  <Override PartName="/xl/externalLinks/externalLink693.xml" ContentType="application/vnd.openxmlformats-officedocument.spreadsheetml.externalLink+xml"/>
  <Override PartName="/xl/externalLinks/externalLink694.xml" ContentType="application/vnd.openxmlformats-officedocument.spreadsheetml.externalLink+xml"/>
  <Override PartName="/xl/externalLinks/externalLink695.xml" ContentType="application/vnd.openxmlformats-officedocument.spreadsheetml.externalLink+xml"/>
  <Override PartName="/xl/externalLinks/externalLink696.xml" ContentType="application/vnd.openxmlformats-officedocument.spreadsheetml.externalLink+xml"/>
  <Override PartName="/xl/externalLinks/externalLink697.xml" ContentType="application/vnd.openxmlformats-officedocument.spreadsheetml.externalLink+xml"/>
  <Override PartName="/xl/externalLinks/externalLink698.xml" ContentType="application/vnd.openxmlformats-officedocument.spreadsheetml.externalLink+xml"/>
  <Override PartName="/xl/externalLinks/externalLink699.xml" ContentType="application/vnd.openxmlformats-officedocument.spreadsheetml.externalLink+xml"/>
  <Override PartName="/xl/externalLinks/externalLink700.xml" ContentType="application/vnd.openxmlformats-officedocument.spreadsheetml.externalLink+xml"/>
  <Override PartName="/xl/externalLinks/externalLink701.xml" ContentType="application/vnd.openxmlformats-officedocument.spreadsheetml.externalLink+xml"/>
  <Override PartName="/xl/externalLinks/externalLink702.xml" ContentType="application/vnd.openxmlformats-officedocument.spreadsheetml.externalLink+xml"/>
  <Override PartName="/xl/externalLinks/externalLink703.xml" ContentType="application/vnd.openxmlformats-officedocument.spreadsheetml.externalLink+xml"/>
  <Override PartName="/xl/externalLinks/externalLink704.xml" ContentType="application/vnd.openxmlformats-officedocument.spreadsheetml.externalLink+xml"/>
  <Override PartName="/xl/externalLinks/externalLink705.xml" ContentType="application/vnd.openxmlformats-officedocument.spreadsheetml.externalLink+xml"/>
  <Override PartName="/xl/externalLinks/externalLink706.xml" ContentType="application/vnd.openxmlformats-officedocument.spreadsheetml.externalLink+xml"/>
  <Override PartName="/xl/externalLinks/externalLink707.xml" ContentType="application/vnd.openxmlformats-officedocument.spreadsheetml.externalLink+xml"/>
  <Override PartName="/xl/externalLinks/externalLink708.xml" ContentType="application/vnd.openxmlformats-officedocument.spreadsheetml.externalLink+xml"/>
  <Override PartName="/xl/externalLinks/externalLink709.xml" ContentType="application/vnd.openxmlformats-officedocument.spreadsheetml.externalLink+xml"/>
  <Override PartName="/xl/externalLinks/externalLink710.xml" ContentType="application/vnd.openxmlformats-officedocument.spreadsheetml.externalLink+xml"/>
  <Override PartName="/xl/externalLinks/externalLink711.xml" ContentType="application/vnd.openxmlformats-officedocument.spreadsheetml.externalLink+xml"/>
  <Override PartName="/xl/externalLinks/externalLink712.xml" ContentType="application/vnd.openxmlformats-officedocument.spreadsheetml.externalLink+xml"/>
  <Override PartName="/xl/externalLinks/externalLink713.xml" ContentType="application/vnd.openxmlformats-officedocument.spreadsheetml.externalLink+xml"/>
  <Override PartName="/xl/externalLinks/externalLink714.xml" ContentType="application/vnd.openxmlformats-officedocument.spreadsheetml.externalLink+xml"/>
  <Override PartName="/xl/externalLinks/externalLink715.xml" ContentType="application/vnd.openxmlformats-officedocument.spreadsheetml.externalLink+xml"/>
  <Override PartName="/xl/externalLinks/externalLink716.xml" ContentType="application/vnd.openxmlformats-officedocument.spreadsheetml.externalLink+xml"/>
  <Override PartName="/xl/externalLinks/externalLink717.xml" ContentType="application/vnd.openxmlformats-officedocument.spreadsheetml.externalLink+xml"/>
  <Override PartName="/xl/externalLinks/externalLink718.xml" ContentType="application/vnd.openxmlformats-officedocument.spreadsheetml.externalLink+xml"/>
  <Override PartName="/xl/externalLinks/externalLink719.xml" ContentType="application/vnd.openxmlformats-officedocument.spreadsheetml.externalLink+xml"/>
  <Override PartName="/xl/externalLinks/externalLink720.xml" ContentType="application/vnd.openxmlformats-officedocument.spreadsheetml.externalLink+xml"/>
  <Override PartName="/xl/externalLinks/externalLink721.xml" ContentType="application/vnd.openxmlformats-officedocument.spreadsheetml.externalLink+xml"/>
  <Override PartName="/xl/externalLinks/externalLink722.xml" ContentType="application/vnd.openxmlformats-officedocument.spreadsheetml.externalLink+xml"/>
  <Override PartName="/xl/externalLinks/externalLink723.xml" ContentType="application/vnd.openxmlformats-officedocument.spreadsheetml.externalLink+xml"/>
  <Override PartName="/xl/externalLinks/externalLink724.xml" ContentType="application/vnd.openxmlformats-officedocument.spreadsheetml.externalLink+xml"/>
  <Override PartName="/xl/externalLinks/externalLink725.xml" ContentType="application/vnd.openxmlformats-officedocument.spreadsheetml.externalLink+xml"/>
  <Override PartName="/xl/externalLinks/externalLink726.xml" ContentType="application/vnd.openxmlformats-officedocument.spreadsheetml.externalLink+xml"/>
  <Override PartName="/xl/externalLinks/externalLink727.xml" ContentType="application/vnd.openxmlformats-officedocument.spreadsheetml.externalLink+xml"/>
  <Override PartName="/xl/externalLinks/externalLink728.xml" ContentType="application/vnd.openxmlformats-officedocument.spreadsheetml.externalLink+xml"/>
  <Override PartName="/xl/externalLinks/externalLink729.xml" ContentType="application/vnd.openxmlformats-officedocument.spreadsheetml.externalLink+xml"/>
  <Override PartName="/xl/externalLinks/externalLink730.xml" ContentType="application/vnd.openxmlformats-officedocument.spreadsheetml.externalLink+xml"/>
  <Override PartName="/xl/externalLinks/externalLink731.xml" ContentType="application/vnd.openxmlformats-officedocument.spreadsheetml.externalLink+xml"/>
  <Override PartName="/xl/externalLinks/externalLink732.xml" ContentType="application/vnd.openxmlformats-officedocument.spreadsheetml.externalLink+xml"/>
  <Override PartName="/xl/externalLinks/externalLink733.xml" ContentType="application/vnd.openxmlformats-officedocument.spreadsheetml.externalLink+xml"/>
  <Override PartName="/xl/externalLinks/externalLink734.xml" ContentType="application/vnd.openxmlformats-officedocument.spreadsheetml.externalLink+xml"/>
  <Override PartName="/xl/externalLinks/externalLink735.xml" ContentType="application/vnd.openxmlformats-officedocument.spreadsheetml.externalLink+xml"/>
  <Override PartName="/xl/externalLinks/externalLink736.xml" ContentType="application/vnd.openxmlformats-officedocument.spreadsheetml.externalLink+xml"/>
  <Override PartName="/xl/externalLinks/externalLink737.xml" ContentType="application/vnd.openxmlformats-officedocument.spreadsheetml.externalLink+xml"/>
  <Override PartName="/xl/externalLinks/externalLink738.xml" ContentType="application/vnd.openxmlformats-officedocument.spreadsheetml.externalLink+xml"/>
  <Override PartName="/xl/externalLinks/externalLink739.xml" ContentType="application/vnd.openxmlformats-officedocument.spreadsheetml.externalLink+xml"/>
  <Override PartName="/xl/externalLinks/externalLink740.xml" ContentType="application/vnd.openxmlformats-officedocument.spreadsheetml.externalLink+xml"/>
  <Override PartName="/xl/externalLinks/externalLink741.xml" ContentType="application/vnd.openxmlformats-officedocument.spreadsheetml.externalLink+xml"/>
  <Override PartName="/xl/externalLinks/externalLink742.xml" ContentType="application/vnd.openxmlformats-officedocument.spreadsheetml.externalLink+xml"/>
  <Override PartName="/xl/externalLinks/externalLink743.xml" ContentType="application/vnd.openxmlformats-officedocument.spreadsheetml.externalLink+xml"/>
  <Override PartName="/xl/externalLinks/externalLink744.xml" ContentType="application/vnd.openxmlformats-officedocument.spreadsheetml.externalLink+xml"/>
  <Override PartName="/xl/externalLinks/externalLink745.xml" ContentType="application/vnd.openxmlformats-officedocument.spreadsheetml.externalLink+xml"/>
  <Override PartName="/xl/externalLinks/externalLink746.xml" ContentType="application/vnd.openxmlformats-officedocument.spreadsheetml.externalLink+xml"/>
  <Override PartName="/xl/externalLinks/externalLink747.xml" ContentType="application/vnd.openxmlformats-officedocument.spreadsheetml.externalLink+xml"/>
  <Override PartName="/xl/externalLinks/externalLink748.xml" ContentType="application/vnd.openxmlformats-officedocument.spreadsheetml.externalLink+xml"/>
  <Override PartName="/xl/externalLinks/externalLink749.xml" ContentType="application/vnd.openxmlformats-officedocument.spreadsheetml.externalLink+xml"/>
  <Override PartName="/xl/externalLinks/externalLink750.xml" ContentType="application/vnd.openxmlformats-officedocument.spreadsheetml.externalLink+xml"/>
  <Override PartName="/xl/externalLinks/externalLink751.xml" ContentType="application/vnd.openxmlformats-officedocument.spreadsheetml.externalLink+xml"/>
  <Override PartName="/xl/externalLinks/externalLink752.xml" ContentType="application/vnd.openxmlformats-officedocument.spreadsheetml.externalLink+xml"/>
  <Override PartName="/xl/externalLinks/externalLink753.xml" ContentType="application/vnd.openxmlformats-officedocument.spreadsheetml.externalLink+xml"/>
  <Override PartName="/xl/externalLinks/externalLink754.xml" ContentType="application/vnd.openxmlformats-officedocument.spreadsheetml.externalLink+xml"/>
  <Override PartName="/xl/externalLinks/externalLink755.xml" ContentType="application/vnd.openxmlformats-officedocument.spreadsheetml.externalLink+xml"/>
  <Override PartName="/xl/externalLinks/externalLink756.xml" ContentType="application/vnd.openxmlformats-officedocument.spreadsheetml.externalLink+xml"/>
  <Override PartName="/xl/externalLinks/externalLink757.xml" ContentType="application/vnd.openxmlformats-officedocument.spreadsheetml.externalLink+xml"/>
  <Override PartName="/xl/externalLinks/externalLink758.xml" ContentType="application/vnd.openxmlformats-officedocument.spreadsheetml.externalLink+xml"/>
  <Override PartName="/xl/externalLinks/externalLink759.xml" ContentType="application/vnd.openxmlformats-officedocument.spreadsheetml.externalLink+xml"/>
  <Override PartName="/xl/externalLinks/externalLink760.xml" ContentType="application/vnd.openxmlformats-officedocument.spreadsheetml.externalLink+xml"/>
  <Override PartName="/xl/externalLinks/externalLink761.xml" ContentType="application/vnd.openxmlformats-officedocument.spreadsheetml.externalLink+xml"/>
  <Override PartName="/xl/externalLinks/externalLink762.xml" ContentType="application/vnd.openxmlformats-officedocument.spreadsheetml.externalLink+xml"/>
  <Override PartName="/xl/externalLinks/externalLink763.xml" ContentType="application/vnd.openxmlformats-officedocument.spreadsheetml.externalLink+xml"/>
  <Override PartName="/xl/externalLinks/externalLink764.xml" ContentType="application/vnd.openxmlformats-officedocument.spreadsheetml.externalLink+xml"/>
  <Override PartName="/xl/externalLinks/externalLink765.xml" ContentType="application/vnd.openxmlformats-officedocument.spreadsheetml.externalLink+xml"/>
  <Override PartName="/xl/externalLinks/externalLink766.xml" ContentType="application/vnd.openxmlformats-officedocument.spreadsheetml.externalLink+xml"/>
  <Override PartName="/xl/externalLinks/externalLink767.xml" ContentType="application/vnd.openxmlformats-officedocument.spreadsheetml.externalLink+xml"/>
  <Override PartName="/xl/externalLinks/externalLink768.xml" ContentType="application/vnd.openxmlformats-officedocument.spreadsheetml.externalLink+xml"/>
  <Override PartName="/xl/externalLinks/externalLink769.xml" ContentType="application/vnd.openxmlformats-officedocument.spreadsheetml.externalLink+xml"/>
  <Override PartName="/xl/externalLinks/externalLink770.xml" ContentType="application/vnd.openxmlformats-officedocument.spreadsheetml.externalLink+xml"/>
  <Override PartName="/xl/externalLinks/externalLink771.xml" ContentType="application/vnd.openxmlformats-officedocument.spreadsheetml.externalLink+xml"/>
  <Override PartName="/xl/externalLinks/externalLink772.xml" ContentType="application/vnd.openxmlformats-officedocument.spreadsheetml.externalLink+xml"/>
  <Override PartName="/xl/externalLinks/externalLink773.xml" ContentType="application/vnd.openxmlformats-officedocument.spreadsheetml.externalLink+xml"/>
  <Override PartName="/xl/externalLinks/externalLink774.xml" ContentType="application/vnd.openxmlformats-officedocument.spreadsheetml.externalLink+xml"/>
  <Override PartName="/xl/externalLinks/externalLink775.xml" ContentType="application/vnd.openxmlformats-officedocument.spreadsheetml.externalLink+xml"/>
  <Override PartName="/xl/externalLinks/externalLink776.xml" ContentType="application/vnd.openxmlformats-officedocument.spreadsheetml.externalLink+xml"/>
  <Override PartName="/xl/externalLinks/externalLink777.xml" ContentType="application/vnd.openxmlformats-officedocument.spreadsheetml.externalLink+xml"/>
  <Override PartName="/xl/externalLinks/externalLink778.xml" ContentType="application/vnd.openxmlformats-officedocument.spreadsheetml.externalLink+xml"/>
  <Override PartName="/xl/externalLinks/externalLink779.xml" ContentType="application/vnd.openxmlformats-officedocument.spreadsheetml.externalLink+xml"/>
  <Override PartName="/xl/externalLinks/externalLink780.xml" ContentType="application/vnd.openxmlformats-officedocument.spreadsheetml.externalLink+xml"/>
  <Override PartName="/xl/externalLinks/externalLink781.xml" ContentType="application/vnd.openxmlformats-officedocument.spreadsheetml.externalLink+xml"/>
  <Override PartName="/xl/externalLinks/externalLink782.xml" ContentType="application/vnd.openxmlformats-officedocument.spreadsheetml.externalLink+xml"/>
  <Override PartName="/xl/externalLinks/externalLink783.xml" ContentType="application/vnd.openxmlformats-officedocument.spreadsheetml.externalLink+xml"/>
  <Override PartName="/xl/externalLinks/externalLink784.xml" ContentType="application/vnd.openxmlformats-officedocument.spreadsheetml.externalLink+xml"/>
  <Override PartName="/xl/externalLinks/externalLink785.xml" ContentType="application/vnd.openxmlformats-officedocument.spreadsheetml.externalLink+xml"/>
  <Override PartName="/xl/externalLinks/externalLink786.xml" ContentType="application/vnd.openxmlformats-officedocument.spreadsheetml.externalLink+xml"/>
  <Override PartName="/xl/externalLinks/externalLink787.xml" ContentType="application/vnd.openxmlformats-officedocument.spreadsheetml.externalLink+xml"/>
  <Override PartName="/xl/externalLinks/externalLink788.xml" ContentType="application/vnd.openxmlformats-officedocument.spreadsheetml.externalLink+xml"/>
  <Override PartName="/xl/externalLinks/externalLink789.xml" ContentType="application/vnd.openxmlformats-officedocument.spreadsheetml.externalLink+xml"/>
  <Override PartName="/xl/externalLinks/externalLink790.xml" ContentType="application/vnd.openxmlformats-officedocument.spreadsheetml.externalLink+xml"/>
  <Override PartName="/xl/externalLinks/externalLink791.xml" ContentType="application/vnd.openxmlformats-officedocument.spreadsheetml.externalLink+xml"/>
  <Override PartName="/xl/externalLinks/externalLink792.xml" ContentType="application/vnd.openxmlformats-officedocument.spreadsheetml.externalLink+xml"/>
  <Override PartName="/xl/externalLinks/externalLink793.xml" ContentType="application/vnd.openxmlformats-officedocument.spreadsheetml.externalLink+xml"/>
  <Override PartName="/xl/externalLinks/externalLink794.xml" ContentType="application/vnd.openxmlformats-officedocument.spreadsheetml.externalLink+xml"/>
  <Override PartName="/xl/externalLinks/externalLink795.xml" ContentType="application/vnd.openxmlformats-officedocument.spreadsheetml.externalLink+xml"/>
  <Override PartName="/xl/externalLinks/externalLink796.xml" ContentType="application/vnd.openxmlformats-officedocument.spreadsheetml.externalLink+xml"/>
  <Override PartName="/xl/externalLinks/externalLink797.xml" ContentType="application/vnd.openxmlformats-officedocument.spreadsheetml.externalLink+xml"/>
  <Override PartName="/xl/externalLinks/externalLink798.xml" ContentType="application/vnd.openxmlformats-officedocument.spreadsheetml.externalLink+xml"/>
  <Override PartName="/xl/externalLinks/externalLink799.xml" ContentType="application/vnd.openxmlformats-officedocument.spreadsheetml.externalLink+xml"/>
  <Override PartName="/xl/externalLinks/externalLink800.xml" ContentType="application/vnd.openxmlformats-officedocument.spreadsheetml.externalLink+xml"/>
  <Override PartName="/xl/externalLinks/externalLink801.xml" ContentType="application/vnd.openxmlformats-officedocument.spreadsheetml.externalLink+xml"/>
  <Override PartName="/xl/externalLinks/externalLink802.xml" ContentType="application/vnd.openxmlformats-officedocument.spreadsheetml.externalLink+xml"/>
  <Override PartName="/xl/externalLinks/externalLink803.xml" ContentType="application/vnd.openxmlformats-officedocument.spreadsheetml.externalLink+xml"/>
  <Override PartName="/xl/externalLinks/externalLink804.xml" ContentType="application/vnd.openxmlformats-officedocument.spreadsheetml.externalLink+xml"/>
  <Override PartName="/xl/externalLinks/externalLink805.xml" ContentType="application/vnd.openxmlformats-officedocument.spreadsheetml.externalLink+xml"/>
  <Override PartName="/xl/externalLinks/externalLink806.xml" ContentType="application/vnd.openxmlformats-officedocument.spreadsheetml.externalLink+xml"/>
  <Override PartName="/xl/externalLinks/externalLink807.xml" ContentType="application/vnd.openxmlformats-officedocument.spreadsheetml.externalLink+xml"/>
  <Override PartName="/xl/externalLinks/externalLink808.xml" ContentType="application/vnd.openxmlformats-officedocument.spreadsheetml.externalLink+xml"/>
  <Override PartName="/xl/externalLinks/externalLink809.xml" ContentType="application/vnd.openxmlformats-officedocument.spreadsheetml.externalLink+xml"/>
  <Override PartName="/xl/externalLinks/externalLink810.xml" ContentType="application/vnd.openxmlformats-officedocument.spreadsheetml.externalLink+xml"/>
  <Override PartName="/xl/externalLinks/externalLink811.xml" ContentType="application/vnd.openxmlformats-officedocument.spreadsheetml.externalLink+xml"/>
  <Override PartName="/xl/externalLinks/externalLink812.xml" ContentType="application/vnd.openxmlformats-officedocument.spreadsheetml.externalLink+xml"/>
  <Override PartName="/xl/externalLinks/externalLink813.xml" ContentType="application/vnd.openxmlformats-officedocument.spreadsheetml.externalLink+xml"/>
  <Override PartName="/xl/externalLinks/externalLink814.xml" ContentType="application/vnd.openxmlformats-officedocument.spreadsheetml.externalLink+xml"/>
  <Override PartName="/xl/externalLinks/externalLink815.xml" ContentType="application/vnd.openxmlformats-officedocument.spreadsheetml.externalLink+xml"/>
  <Override PartName="/xl/externalLinks/externalLink816.xml" ContentType="application/vnd.openxmlformats-officedocument.spreadsheetml.externalLink+xml"/>
  <Override PartName="/xl/externalLinks/externalLink817.xml" ContentType="application/vnd.openxmlformats-officedocument.spreadsheetml.externalLink+xml"/>
  <Override PartName="/xl/externalLinks/externalLink818.xml" ContentType="application/vnd.openxmlformats-officedocument.spreadsheetml.externalLink+xml"/>
  <Override PartName="/xl/externalLinks/externalLink819.xml" ContentType="application/vnd.openxmlformats-officedocument.spreadsheetml.externalLink+xml"/>
  <Override PartName="/xl/externalLinks/externalLink820.xml" ContentType="application/vnd.openxmlformats-officedocument.spreadsheetml.externalLink+xml"/>
  <Override PartName="/xl/externalLinks/externalLink821.xml" ContentType="application/vnd.openxmlformats-officedocument.spreadsheetml.externalLink+xml"/>
  <Override PartName="/xl/externalLinks/externalLink822.xml" ContentType="application/vnd.openxmlformats-officedocument.spreadsheetml.externalLink+xml"/>
  <Override PartName="/xl/externalLinks/externalLink823.xml" ContentType="application/vnd.openxmlformats-officedocument.spreadsheetml.externalLink+xml"/>
  <Override PartName="/xl/externalLinks/externalLink824.xml" ContentType="application/vnd.openxmlformats-officedocument.spreadsheetml.externalLink+xml"/>
  <Override PartName="/xl/externalLinks/externalLink825.xml" ContentType="application/vnd.openxmlformats-officedocument.spreadsheetml.externalLink+xml"/>
  <Override PartName="/xl/externalLinks/externalLink826.xml" ContentType="application/vnd.openxmlformats-officedocument.spreadsheetml.externalLink+xml"/>
  <Override PartName="/xl/externalLinks/externalLink827.xml" ContentType="application/vnd.openxmlformats-officedocument.spreadsheetml.externalLink+xml"/>
  <Override PartName="/xl/externalLinks/externalLink828.xml" ContentType="application/vnd.openxmlformats-officedocument.spreadsheetml.externalLink+xml"/>
  <Override PartName="/xl/externalLinks/externalLink829.xml" ContentType="application/vnd.openxmlformats-officedocument.spreadsheetml.externalLink+xml"/>
  <Override PartName="/xl/externalLinks/externalLink830.xml" ContentType="application/vnd.openxmlformats-officedocument.spreadsheetml.externalLink+xml"/>
  <Override PartName="/xl/externalLinks/externalLink831.xml" ContentType="application/vnd.openxmlformats-officedocument.spreadsheetml.externalLink+xml"/>
  <Override PartName="/xl/externalLinks/externalLink832.xml" ContentType="application/vnd.openxmlformats-officedocument.spreadsheetml.externalLink+xml"/>
  <Override PartName="/xl/externalLinks/externalLink833.xml" ContentType="application/vnd.openxmlformats-officedocument.spreadsheetml.externalLink+xml"/>
  <Override PartName="/xl/externalLinks/externalLink834.xml" ContentType="application/vnd.openxmlformats-officedocument.spreadsheetml.externalLink+xml"/>
  <Override PartName="/xl/externalLinks/externalLink835.xml" ContentType="application/vnd.openxmlformats-officedocument.spreadsheetml.externalLink+xml"/>
  <Override PartName="/xl/externalLinks/externalLink836.xml" ContentType="application/vnd.openxmlformats-officedocument.spreadsheetml.externalLink+xml"/>
  <Override PartName="/xl/externalLinks/externalLink837.xml" ContentType="application/vnd.openxmlformats-officedocument.spreadsheetml.externalLink+xml"/>
  <Override PartName="/xl/externalLinks/externalLink838.xml" ContentType="application/vnd.openxmlformats-officedocument.spreadsheetml.externalLink+xml"/>
  <Override PartName="/xl/externalLinks/externalLink839.xml" ContentType="application/vnd.openxmlformats-officedocument.spreadsheetml.externalLink+xml"/>
  <Override PartName="/xl/externalLinks/externalLink840.xml" ContentType="application/vnd.openxmlformats-officedocument.spreadsheetml.externalLink+xml"/>
  <Override PartName="/xl/externalLinks/externalLink841.xml" ContentType="application/vnd.openxmlformats-officedocument.spreadsheetml.externalLink+xml"/>
  <Override PartName="/xl/externalLinks/externalLink842.xml" ContentType="application/vnd.openxmlformats-officedocument.spreadsheetml.externalLink+xml"/>
  <Override PartName="/xl/externalLinks/externalLink843.xml" ContentType="application/vnd.openxmlformats-officedocument.spreadsheetml.externalLink+xml"/>
  <Override PartName="/xl/externalLinks/externalLink844.xml" ContentType="application/vnd.openxmlformats-officedocument.spreadsheetml.externalLink+xml"/>
  <Override PartName="/xl/externalLinks/externalLink845.xml" ContentType="application/vnd.openxmlformats-officedocument.spreadsheetml.externalLink+xml"/>
  <Override PartName="/xl/externalLinks/externalLink846.xml" ContentType="application/vnd.openxmlformats-officedocument.spreadsheetml.externalLink+xml"/>
  <Override PartName="/xl/externalLinks/externalLink847.xml" ContentType="application/vnd.openxmlformats-officedocument.spreadsheetml.externalLink+xml"/>
  <Override PartName="/xl/externalLinks/externalLink848.xml" ContentType="application/vnd.openxmlformats-officedocument.spreadsheetml.externalLink+xml"/>
  <Override PartName="/xl/externalLinks/externalLink849.xml" ContentType="application/vnd.openxmlformats-officedocument.spreadsheetml.externalLink+xml"/>
  <Override PartName="/xl/externalLinks/externalLink850.xml" ContentType="application/vnd.openxmlformats-officedocument.spreadsheetml.externalLink+xml"/>
  <Override PartName="/xl/externalLinks/externalLink851.xml" ContentType="application/vnd.openxmlformats-officedocument.spreadsheetml.externalLink+xml"/>
  <Override PartName="/xl/externalLinks/externalLink852.xml" ContentType="application/vnd.openxmlformats-officedocument.spreadsheetml.externalLink+xml"/>
  <Override PartName="/xl/externalLinks/externalLink853.xml" ContentType="application/vnd.openxmlformats-officedocument.spreadsheetml.externalLink+xml"/>
  <Override PartName="/xl/externalLinks/externalLink854.xml" ContentType="application/vnd.openxmlformats-officedocument.spreadsheetml.externalLink+xml"/>
  <Override PartName="/xl/externalLinks/externalLink855.xml" ContentType="application/vnd.openxmlformats-officedocument.spreadsheetml.externalLink+xml"/>
  <Override PartName="/xl/externalLinks/externalLink856.xml" ContentType="application/vnd.openxmlformats-officedocument.spreadsheetml.externalLink+xml"/>
  <Override PartName="/xl/externalLinks/externalLink857.xml" ContentType="application/vnd.openxmlformats-officedocument.spreadsheetml.externalLink+xml"/>
  <Override PartName="/xl/externalLinks/externalLink858.xml" ContentType="application/vnd.openxmlformats-officedocument.spreadsheetml.externalLink+xml"/>
  <Override PartName="/xl/externalLinks/externalLink859.xml" ContentType="application/vnd.openxmlformats-officedocument.spreadsheetml.externalLink+xml"/>
  <Override PartName="/xl/externalLinks/externalLink860.xml" ContentType="application/vnd.openxmlformats-officedocument.spreadsheetml.externalLink+xml"/>
  <Override PartName="/xl/externalLinks/externalLink861.xml" ContentType="application/vnd.openxmlformats-officedocument.spreadsheetml.externalLink+xml"/>
  <Override PartName="/xl/externalLinks/externalLink862.xml" ContentType="application/vnd.openxmlformats-officedocument.spreadsheetml.externalLink+xml"/>
  <Override PartName="/xl/externalLinks/externalLink863.xml" ContentType="application/vnd.openxmlformats-officedocument.spreadsheetml.externalLink+xml"/>
  <Override PartName="/xl/externalLinks/externalLink864.xml" ContentType="application/vnd.openxmlformats-officedocument.spreadsheetml.externalLink+xml"/>
  <Override PartName="/xl/externalLinks/externalLink865.xml" ContentType="application/vnd.openxmlformats-officedocument.spreadsheetml.externalLink+xml"/>
  <Override PartName="/xl/externalLinks/externalLink866.xml" ContentType="application/vnd.openxmlformats-officedocument.spreadsheetml.externalLink+xml"/>
  <Override PartName="/xl/externalLinks/externalLink867.xml" ContentType="application/vnd.openxmlformats-officedocument.spreadsheetml.externalLink+xml"/>
  <Override PartName="/xl/externalLinks/externalLink868.xml" ContentType="application/vnd.openxmlformats-officedocument.spreadsheetml.externalLink+xml"/>
  <Override PartName="/xl/externalLinks/externalLink869.xml" ContentType="application/vnd.openxmlformats-officedocument.spreadsheetml.externalLink+xml"/>
  <Override PartName="/xl/externalLinks/externalLink870.xml" ContentType="application/vnd.openxmlformats-officedocument.spreadsheetml.externalLink+xml"/>
  <Override PartName="/xl/externalLinks/externalLink871.xml" ContentType="application/vnd.openxmlformats-officedocument.spreadsheetml.externalLink+xml"/>
  <Override PartName="/xl/externalLinks/externalLink872.xml" ContentType="application/vnd.openxmlformats-officedocument.spreadsheetml.externalLink+xml"/>
  <Override PartName="/xl/externalLinks/externalLink873.xml" ContentType="application/vnd.openxmlformats-officedocument.spreadsheetml.externalLink+xml"/>
  <Override PartName="/xl/externalLinks/externalLink874.xml" ContentType="application/vnd.openxmlformats-officedocument.spreadsheetml.externalLink+xml"/>
  <Override PartName="/xl/externalLinks/externalLink875.xml" ContentType="application/vnd.openxmlformats-officedocument.spreadsheetml.externalLink+xml"/>
  <Override PartName="/xl/externalLinks/externalLink876.xml" ContentType="application/vnd.openxmlformats-officedocument.spreadsheetml.externalLink+xml"/>
  <Override PartName="/xl/externalLinks/externalLink877.xml" ContentType="application/vnd.openxmlformats-officedocument.spreadsheetml.externalLink+xml"/>
  <Override PartName="/xl/externalLinks/externalLink878.xml" ContentType="application/vnd.openxmlformats-officedocument.spreadsheetml.externalLink+xml"/>
  <Override PartName="/xl/externalLinks/externalLink879.xml" ContentType="application/vnd.openxmlformats-officedocument.spreadsheetml.externalLink+xml"/>
  <Override PartName="/xl/externalLinks/externalLink880.xml" ContentType="application/vnd.openxmlformats-officedocument.spreadsheetml.externalLink+xml"/>
  <Override PartName="/xl/externalLinks/externalLink881.xml" ContentType="application/vnd.openxmlformats-officedocument.spreadsheetml.externalLink+xml"/>
  <Override PartName="/xl/externalLinks/externalLink882.xml" ContentType="application/vnd.openxmlformats-officedocument.spreadsheetml.externalLink+xml"/>
  <Override PartName="/xl/externalLinks/externalLink883.xml" ContentType="application/vnd.openxmlformats-officedocument.spreadsheetml.externalLink+xml"/>
  <Override PartName="/xl/externalLinks/externalLink884.xml" ContentType="application/vnd.openxmlformats-officedocument.spreadsheetml.externalLink+xml"/>
  <Override PartName="/xl/externalLinks/externalLink885.xml" ContentType="application/vnd.openxmlformats-officedocument.spreadsheetml.externalLink+xml"/>
  <Override PartName="/xl/externalLinks/externalLink886.xml" ContentType="application/vnd.openxmlformats-officedocument.spreadsheetml.externalLink+xml"/>
  <Override PartName="/xl/externalLinks/externalLink887.xml" ContentType="application/vnd.openxmlformats-officedocument.spreadsheetml.externalLink+xml"/>
  <Override PartName="/xl/externalLinks/externalLink888.xml" ContentType="application/vnd.openxmlformats-officedocument.spreadsheetml.externalLink+xml"/>
  <Override PartName="/xl/externalLinks/externalLink889.xml" ContentType="application/vnd.openxmlformats-officedocument.spreadsheetml.externalLink+xml"/>
  <Override PartName="/xl/externalLinks/externalLink890.xml" ContentType="application/vnd.openxmlformats-officedocument.spreadsheetml.externalLink+xml"/>
  <Override PartName="/xl/externalLinks/externalLink891.xml" ContentType="application/vnd.openxmlformats-officedocument.spreadsheetml.externalLink+xml"/>
  <Override PartName="/xl/externalLinks/externalLink892.xml" ContentType="application/vnd.openxmlformats-officedocument.spreadsheetml.externalLink+xml"/>
  <Override PartName="/xl/externalLinks/externalLink893.xml" ContentType="application/vnd.openxmlformats-officedocument.spreadsheetml.externalLink+xml"/>
  <Override PartName="/xl/externalLinks/externalLink894.xml" ContentType="application/vnd.openxmlformats-officedocument.spreadsheetml.externalLink+xml"/>
  <Override PartName="/xl/externalLinks/externalLink895.xml" ContentType="application/vnd.openxmlformats-officedocument.spreadsheetml.externalLink+xml"/>
  <Override PartName="/xl/externalLinks/externalLink896.xml" ContentType="application/vnd.openxmlformats-officedocument.spreadsheetml.externalLink+xml"/>
  <Override PartName="/xl/externalLinks/externalLink897.xml" ContentType="application/vnd.openxmlformats-officedocument.spreadsheetml.externalLink+xml"/>
  <Override PartName="/xl/externalLinks/externalLink898.xml" ContentType="application/vnd.openxmlformats-officedocument.spreadsheetml.externalLink+xml"/>
  <Override PartName="/xl/externalLinks/externalLink899.xml" ContentType="application/vnd.openxmlformats-officedocument.spreadsheetml.externalLink+xml"/>
  <Override PartName="/xl/externalLinks/externalLink900.xml" ContentType="application/vnd.openxmlformats-officedocument.spreadsheetml.externalLink+xml"/>
  <Override PartName="/xl/externalLinks/externalLink901.xml" ContentType="application/vnd.openxmlformats-officedocument.spreadsheetml.externalLink+xml"/>
  <Override PartName="/xl/externalLinks/externalLink902.xml" ContentType="application/vnd.openxmlformats-officedocument.spreadsheetml.externalLink+xml"/>
  <Override PartName="/xl/externalLinks/externalLink903.xml" ContentType="application/vnd.openxmlformats-officedocument.spreadsheetml.externalLink+xml"/>
  <Override PartName="/xl/externalLinks/externalLink904.xml" ContentType="application/vnd.openxmlformats-officedocument.spreadsheetml.externalLink+xml"/>
  <Override PartName="/xl/externalLinks/externalLink905.xml" ContentType="application/vnd.openxmlformats-officedocument.spreadsheetml.externalLink+xml"/>
  <Override PartName="/xl/externalLinks/externalLink906.xml" ContentType="application/vnd.openxmlformats-officedocument.spreadsheetml.externalLink+xml"/>
  <Override PartName="/xl/externalLinks/externalLink907.xml" ContentType="application/vnd.openxmlformats-officedocument.spreadsheetml.externalLink+xml"/>
  <Override PartName="/xl/externalLinks/externalLink908.xml" ContentType="application/vnd.openxmlformats-officedocument.spreadsheetml.externalLink+xml"/>
  <Override PartName="/xl/externalLinks/externalLink909.xml" ContentType="application/vnd.openxmlformats-officedocument.spreadsheetml.externalLink+xml"/>
  <Override PartName="/xl/externalLinks/externalLink910.xml" ContentType="application/vnd.openxmlformats-officedocument.spreadsheetml.externalLink+xml"/>
  <Override PartName="/xl/externalLinks/externalLink911.xml" ContentType="application/vnd.openxmlformats-officedocument.spreadsheetml.externalLink+xml"/>
  <Override PartName="/xl/externalLinks/externalLink912.xml" ContentType="application/vnd.openxmlformats-officedocument.spreadsheetml.externalLink+xml"/>
  <Override PartName="/xl/externalLinks/externalLink913.xml" ContentType="application/vnd.openxmlformats-officedocument.spreadsheetml.externalLink+xml"/>
  <Override PartName="/xl/externalLinks/externalLink914.xml" ContentType="application/vnd.openxmlformats-officedocument.spreadsheetml.externalLink+xml"/>
  <Override PartName="/xl/externalLinks/externalLink915.xml" ContentType="application/vnd.openxmlformats-officedocument.spreadsheetml.externalLink+xml"/>
  <Override PartName="/xl/externalLinks/externalLink916.xml" ContentType="application/vnd.openxmlformats-officedocument.spreadsheetml.externalLink+xml"/>
  <Override PartName="/xl/externalLinks/externalLink917.xml" ContentType="application/vnd.openxmlformats-officedocument.spreadsheetml.externalLink+xml"/>
  <Override PartName="/xl/externalLinks/externalLink918.xml" ContentType="application/vnd.openxmlformats-officedocument.spreadsheetml.externalLink+xml"/>
  <Override PartName="/xl/externalLinks/externalLink919.xml" ContentType="application/vnd.openxmlformats-officedocument.spreadsheetml.externalLink+xml"/>
  <Override PartName="/xl/externalLinks/externalLink920.xml" ContentType="application/vnd.openxmlformats-officedocument.spreadsheetml.externalLink+xml"/>
  <Override PartName="/xl/externalLinks/externalLink921.xml" ContentType="application/vnd.openxmlformats-officedocument.spreadsheetml.externalLink+xml"/>
  <Override PartName="/xl/externalLinks/externalLink922.xml" ContentType="application/vnd.openxmlformats-officedocument.spreadsheetml.externalLink+xml"/>
  <Override PartName="/xl/externalLinks/externalLink923.xml" ContentType="application/vnd.openxmlformats-officedocument.spreadsheetml.externalLink+xml"/>
  <Override PartName="/xl/externalLinks/externalLink924.xml" ContentType="application/vnd.openxmlformats-officedocument.spreadsheetml.externalLink+xml"/>
  <Override PartName="/xl/externalLinks/externalLink925.xml" ContentType="application/vnd.openxmlformats-officedocument.spreadsheetml.externalLink+xml"/>
  <Override PartName="/xl/externalLinks/externalLink926.xml" ContentType="application/vnd.openxmlformats-officedocument.spreadsheetml.externalLink+xml"/>
  <Override PartName="/xl/externalLinks/externalLink927.xml" ContentType="application/vnd.openxmlformats-officedocument.spreadsheetml.externalLink+xml"/>
  <Override PartName="/xl/externalLinks/externalLink928.xml" ContentType="application/vnd.openxmlformats-officedocument.spreadsheetml.externalLink+xml"/>
  <Override PartName="/xl/externalLinks/externalLink929.xml" ContentType="application/vnd.openxmlformats-officedocument.spreadsheetml.externalLink+xml"/>
  <Override PartName="/xl/externalLinks/externalLink930.xml" ContentType="application/vnd.openxmlformats-officedocument.spreadsheetml.externalLink+xml"/>
  <Override PartName="/xl/externalLinks/externalLink931.xml" ContentType="application/vnd.openxmlformats-officedocument.spreadsheetml.externalLink+xml"/>
  <Override PartName="/xl/externalLinks/externalLink932.xml" ContentType="application/vnd.openxmlformats-officedocument.spreadsheetml.externalLink+xml"/>
  <Override PartName="/xl/externalLinks/externalLink933.xml" ContentType="application/vnd.openxmlformats-officedocument.spreadsheetml.externalLink+xml"/>
  <Override PartName="/xl/externalLinks/externalLink934.xml" ContentType="application/vnd.openxmlformats-officedocument.spreadsheetml.externalLink+xml"/>
  <Override PartName="/xl/externalLinks/externalLink935.xml" ContentType="application/vnd.openxmlformats-officedocument.spreadsheetml.externalLink+xml"/>
  <Override PartName="/xl/externalLinks/externalLink936.xml" ContentType="application/vnd.openxmlformats-officedocument.spreadsheetml.externalLink+xml"/>
  <Override PartName="/xl/externalLinks/externalLink937.xml" ContentType="application/vnd.openxmlformats-officedocument.spreadsheetml.externalLink+xml"/>
  <Override PartName="/xl/externalLinks/externalLink938.xml" ContentType="application/vnd.openxmlformats-officedocument.spreadsheetml.externalLink+xml"/>
  <Override PartName="/xl/externalLinks/externalLink939.xml" ContentType="application/vnd.openxmlformats-officedocument.spreadsheetml.externalLink+xml"/>
  <Override PartName="/xl/externalLinks/externalLink940.xml" ContentType="application/vnd.openxmlformats-officedocument.spreadsheetml.externalLink+xml"/>
  <Override PartName="/xl/externalLinks/externalLink941.xml" ContentType="application/vnd.openxmlformats-officedocument.spreadsheetml.externalLink+xml"/>
  <Override PartName="/xl/externalLinks/externalLink942.xml" ContentType="application/vnd.openxmlformats-officedocument.spreadsheetml.externalLink+xml"/>
  <Override PartName="/xl/externalLinks/externalLink943.xml" ContentType="application/vnd.openxmlformats-officedocument.spreadsheetml.externalLink+xml"/>
  <Override PartName="/xl/externalLinks/externalLink944.xml" ContentType="application/vnd.openxmlformats-officedocument.spreadsheetml.externalLink+xml"/>
  <Override PartName="/xl/externalLinks/externalLink945.xml" ContentType="application/vnd.openxmlformats-officedocument.spreadsheetml.externalLink+xml"/>
  <Override PartName="/xl/externalLinks/externalLink946.xml" ContentType="application/vnd.openxmlformats-officedocument.spreadsheetml.externalLink+xml"/>
  <Override PartName="/xl/externalLinks/externalLink947.xml" ContentType="application/vnd.openxmlformats-officedocument.spreadsheetml.externalLink+xml"/>
  <Override PartName="/xl/externalLinks/externalLink948.xml" ContentType="application/vnd.openxmlformats-officedocument.spreadsheetml.externalLink+xml"/>
  <Override PartName="/xl/externalLinks/externalLink949.xml" ContentType="application/vnd.openxmlformats-officedocument.spreadsheetml.externalLink+xml"/>
  <Override PartName="/xl/externalLinks/externalLink950.xml" ContentType="application/vnd.openxmlformats-officedocument.spreadsheetml.externalLink+xml"/>
  <Override PartName="/xl/externalLinks/externalLink951.xml" ContentType="application/vnd.openxmlformats-officedocument.spreadsheetml.externalLink+xml"/>
  <Override PartName="/xl/externalLinks/externalLink952.xml" ContentType="application/vnd.openxmlformats-officedocument.spreadsheetml.externalLink+xml"/>
  <Override PartName="/xl/externalLinks/externalLink953.xml" ContentType="application/vnd.openxmlformats-officedocument.spreadsheetml.externalLink+xml"/>
  <Override PartName="/xl/externalLinks/externalLink954.xml" ContentType="application/vnd.openxmlformats-officedocument.spreadsheetml.externalLink+xml"/>
  <Override PartName="/xl/externalLinks/externalLink955.xml" ContentType="application/vnd.openxmlformats-officedocument.spreadsheetml.externalLink+xml"/>
  <Override PartName="/xl/externalLinks/externalLink956.xml" ContentType="application/vnd.openxmlformats-officedocument.spreadsheetml.externalLink+xml"/>
  <Override PartName="/xl/externalLinks/externalLink957.xml" ContentType="application/vnd.openxmlformats-officedocument.spreadsheetml.externalLink+xml"/>
  <Override PartName="/xl/externalLinks/externalLink958.xml" ContentType="application/vnd.openxmlformats-officedocument.spreadsheetml.externalLink+xml"/>
  <Override PartName="/xl/externalLinks/externalLink959.xml" ContentType="application/vnd.openxmlformats-officedocument.spreadsheetml.externalLink+xml"/>
  <Override PartName="/xl/externalLinks/externalLink960.xml" ContentType="application/vnd.openxmlformats-officedocument.spreadsheetml.externalLink+xml"/>
  <Override PartName="/xl/externalLinks/externalLink961.xml" ContentType="application/vnd.openxmlformats-officedocument.spreadsheetml.externalLink+xml"/>
  <Override PartName="/xl/externalLinks/externalLink962.xml" ContentType="application/vnd.openxmlformats-officedocument.spreadsheetml.externalLink+xml"/>
  <Override PartName="/xl/externalLinks/externalLink963.xml" ContentType="application/vnd.openxmlformats-officedocument.spreadsheetml.externalLink+xml"/>
  <Override PartName="/xl/externalLinks/externalLink964.xml" ContentType="application/vnd.openxmlformats-officedocument.spreadsheetml.externalLink+xml"/>
  <Override PartName="/xl/externalLinks/externalLink965.xml" ContentType="application/vnd.openxmlformats-officedocument.spreadsheetml.externalLink+xml"/>
  <Override PartName="/xl/externalLinks/externalLink966.xml" ContentType="application/vnd.openxmlformats-officedocument.spreadsheetml.externalLink+xml"/>
  <Override PartName="/xl/externalLinks/externalLink967.xml" ContentType="application/vnd.openxmlformats-officedocument.spreadsheetml.externalLink+xml"/>
  <Override PartName="/xl/externalLinks/externalLink968.xml" ContentType="application/vnd.openxmlformats-officedocument.spreadsheetml.externalLink+xml"/>
  <Override PartName="/xl/externalLinks/externalLink969.xml" ContentType="application/vnd.openxmlformats-officedocument.spreadsheetml.externalLink+xml"/>
  <Override PartName="/xl/externalLinks/externalLink970.xml" ContentType="application/vnd.openxmlformats-officedocument.spreadsheetml.externalLink+xml"/>
  <Override PartName="/xl/externalLinks/externalLink971.xml" ContentType="application/vnd.openxmlformats-officedocument.spreadsheetml.externalLink+xml"/>
  <Override PartName="/xl/externalLinks/externalLink972.xml" ContentType="application/vnd.openxmlformats-officedocument.spreadsheetml.externalLink+xml"/>
  <Override PartName="/xl/externalLinks/externalLink973.xml" ContentType="application/vnd.openxmlformats-officedocument.spreadsheetml.externalLink+xml"/>
  <Override PartName="/xl/externalLinks/externalLink974.xml" ContentType="application/vnd.openxmlformats-officedocument.spreadsheetml.externalLink+xml"/>
  <Override PartName="/xl/externalLinks/externalLink975.xml" ContentType="application/vnd.openxmlformats-officedocument.spreadsheetml.externalLink+xml"/>
  <Override PartName="/xl/externalLinks/externalLink976.xml" ContentType="application/vnd.openxmlformats-officedocument.spreadsheetml.externalLink+xml"/>
  <Override PartName="/xl/externalLinks/externalLink977.xml" ContentType="application/vnd.openxmlformats-officedocument.spreadsheetml.externalLink+xml"/>
  <Override PartName="/xl/externalLinks/externalLink978.xml" ContentType="application/vnd.openxmlformats-officedocument.spreadsheetml.externalLink+xml"/>
  <Override PartName="/xl/externalLinks/externalLink979.xml" ContentType="application/vnd.openxmlformats-officedocument.spreadsheetml.externalLink+xml"/>
  <Override PartName="/xl/externalLinks/externalLink980.xml" ContentType="application/vnd.openxmlformats-officedocument.spreadsheetml.externalLink+xml"/>
  <Override PartName="/xl/externalLinks/externalLink981.xml" ContentType="application/vnd.openxmlformats-officedocument.spreadsheetml.externalLink+xml"/>
  <Override PartName="/xl/externalLinks/externalLink982.xml" ContentType="application/vnd.openxmlformats-officedocument.spreadsheetml.externalLink+xml"/>
  <Override PartName="/xl/externalLinks/externalLink983.xml" ContentType="application/vnd.openxmlformats-officedocument.spreadsheetml.externalLink+xml"/>
  <Override PartName="/xl/externalLinks/externalLink984.xml" ContentType="application/vnd.openxmlformats-officedocument.spreadsheetml.externalLink+xml"/>
  <Override PartName="/xl/externalLinks/externalLink985.xml" ContentType="application/vnd.openxmlformats-officedocument.spreadsheetml.externalLink+xml"/>
  <Override PartName="/xl/externalLinks/externalLink986.xml" ContentType="application/vnd.openxmlformats-officedocument.spreadsheetml.externalLink+xml"/>
  <Override PartName="/xl/externalLinks/externalLink987.xml" ContentType="application/vnd.openxmlformats-officedocument.spreadsheetml.externalLink+xml"/>
  <Override PartName="/xl/externalLinks/externalLink988.xml" ContentType="application/vnd.openxmlformats-officedocument.spreadsheetml.externalLink+xml"/>
  <Override PartName="/xl/externalLinks/externalLink989.xml" ContentType="application/vnd.openxmlformats-officedocument.spreadsheetml.externalLink+xml"/>
  <Override PartName="/xl/externalLinks/externalLink990.xml" ContentType="application/vnd.openxmlformats-officedocument.spreadsheetml.externalLink+xml"/>
  <Override PartName="/xl/externalLinks/externalLink991.xml" ContentType="application/vnd.openxmlformats-officedocument.spreadsheetml.externalLink+xml"/>
  <Override PartName="/xl/externalLinks/externalLink992.xml" ContentType="application/vnd.openxmlformats-officedocument.spreadsheetml.externalLink+xml"/>
  <Override PartName="/xl/externalLinks/externalLink993.xml" ContentType="application/vnd.openxmlformats-officedocument.spreadsheetml.externalLink+xml"/>
  <Override PartName="/xl/externalLinks/externalLink994.xml" ContentType="application/vnd.openxmlformats-officedocument.spreadsheetml.externalLink+xml"/>
  <Override PartName="/xl/externalLinks/externalLink995.xml" ContentType="application/vnd.openxmlformats-officedocument.spreadsheetml.externalLink+xml"/>
  <Override PartName="/xl/externalLinks/externalLink996.xml" ContentType="application/vnd.openxmlformats-officedocument.spreadsheetml.externalLink+xml"/>
  <Override PartName="/xl/externalLinks/externalLink997.xml" ContentType="application/vnd.openxmlformats-officedocument.spreadsheetml.externalLink+xml"/>
  <Override PartName="/xl/externalLinks/externalLink998.xml" ContentType="application/vnd.openxmlformats-officedocument.spreadsheetml.externalLink+xml"/>
  <Override PartName="/xl/externalLinks/externalLink999.xml" ContentType="application/vnd.openxmlformats-officedocument.spreadsheetml.externalLink+xml"/>
  <Override PartName="/xl/externalLinks/externalLink1000.xml" ContentType="application/vnd.openxmlformats-officedocument.spreadsheetml.externalLink+xml"/>
  <Override PartName="/xl/externalLinks/externalLink1001.xml" ContentType="application/vnd.openxmlformats-officedocument.spreadsheetml.externalLink+xml"/>
  <Override PartName="/xl/externalLinks/externalLink1002.xml" ContentType="application/vnd.openxmlformats-officedocument.spreadsheetml.externalLink+xml"/>
  <Override PartName="/xl/externalLinks/externalLink1003.xml" ContentType="application/vnd.openxmlformats-officedocument.spreadsheetml.externalLink+xml"/>
  <Override PartName="/xl/externalLinks/externalLink1004.xml" ContentType="application/vnd.openxmlformats-officedocument.spreadsheetml.externalLink+xml"/>
  <Override PartName="/xl/externalLinks/externalLink1005.xml" ContentType="application/vnd.openxmlformats-officedocument.spreadsheetml.externalLink+xml"/>
  <Override PartName="/xl/externalLinks/externalLink1006.xml" ContentType="application/vnd.openxmlformats-officedocument.spreadsheetml.externalLink+xml"/>
  <Override PartName="/xl/externalLinks/externalLink1007.xml" ContentType="application/vnd.openxmlformats-officedocument.spreadsheetml.externalLink+xml"/>
  <Override PartName="/xl/externalLinks/externalLink1008.xml" ContentType="application/vnd.openxmlformats-officedocument.spreadsheetml.externalLink+xml"/>
  <Override PartName="/xl/externalLinks/externalLink1009.xml" ContentType="application/vnd.openxmlformats-officedocument.spreadsheetml.externalLink+xml"/>
  <Override PartName="/xl/externalLinks/externalLink1010.xml" ContentType="application/vnd.openxmlformats-officedocument.spreadsheetml.externalLink+xml"/>
  <Override PartName="/xl/externalLinks/externalLink1011.xml" ContentType="application/vnd.openxmlformats-officedocument.spreadsheetml.externalLink+xml"/>
  <Override PartName="/xl/externalLinks/externalLink1012.xml" ContentType="application/vnd.openxmlformats-officedocument.spreadsheetml.externalLink+xml"/>
  <Override PartName="/xl/externalLinks/externalLink1013.xml" ContentType="application/vnd.openxmlformats-officedocument.spreadsheetml.externalLink+xml"/>
  <Override PartName="/xl/externalLinks/externalLink1014.xml" ContentType="application/vnd.openxmlformats-officedocument.spreadsheetml.externalLink+xml"/>
  <Override PartName="/xl/externalLinks/externalLink1015.xml" ContentType="application/vnd.openxmlformats-officedocument.spreadsheetml.externalLink+xml"/>
  <Override PartName="/xl/externalLinks/externalLink1016.xml" ContentType="application/vnd.openxmlformats-officedocument.spreadsheetml.externalLink+xml"/>
  <Override PartName="/xl/externalLinks/externalLink1017.xml" ContentType="application/vnd.openxmlformats-officedocument.spreadsheetml.externalLink+xml"/>
  <Override PartName="/xl/externalLinks/externalLink1018.xml" ContentType="application/vnd.openxmlformats-officedocument.spreadsheetml.externalLink+xml"/>
  <Override PartName="/xl/externalLinks/externalLink1019.xml" ContentType="application/vnd.openxmlformats-officedocument.spreadsheetml.externalLink+xml"/>
  <Override PartName="/xl/externalLinks/externalLink1020.xml" ContentType="application/vnd.openxmlformats-officedocument.spreadsheetml.externalLink+xml"/>
  <Override PartName="/xl/externalLinks/externalLink1021.xml" ContentType="application/vnd.openxmlformats-officedocument.spreadsheetml.externalLink+xml"/>
  <Override PartName="/xl/externalLinks/externalLink1022.xml" ContentType="application/vnd.openxmlformats-officedocument.spreadsheetml.externalLink+xml"/>
  <Override PartName="/xl/externalLinks/externalLink1023.xml" ContentType="application/vnd.openxmlformats-officedocument.spreadsheetml.externalLink+xml"/>
  <Override PartName="/xl/externalLinks/externalLink1024.xml" ContentType="application/vnd.openxmlformats-officedocument.spreadsheetml.externalLink+xml"/>
  <Override PartName="/xl/externalLinks/externalLink1025.xml" ContentType="application/vnd.openxmlformats-officedocument.spreadsheetml.externalLink+xml"/>
  <Override PartName="/xl/externalLinks/externalLink1026.xml" ContentType="application/vnd.openxmlformats-officedocument.spreadsheetml.externalLink+xml"/>
  <Override PartName="/xl/externalLinks/externalLink1027.xml" ContentType="application/vnd.openxmlformats-officedocument.spreadsheetml.externalLink+xml"/>
  <Override PartName="/xl/externalLinks/externalLink1028.xml" ContentType="application/vnd.openxmlformats-officedocument.spreadsheetml.externalLink+xml"/>
  <Override PartName="/xl/externalLinks/externalLink1029.xml" ContentType="application/vnd.openxmlformats-officedocument.spreadsheetml.externalLink+xml"/>
  <Override PartName="/xl/externalLinks/externalLink1030.xml" ContentType="application/vnd.openxmlformats-officedocument.spreadsheetml.externalLink+xml"/>
  <Override PartName="/xl/externalLinks/externalLink1031.xml" ContentType="application/vnd.openxmlformats-officedocument.spreadsheetml.externalLink+xml"/>
  <Override PartName="/xl/externalLinks/externalLink1032.xml" ContentType="application/vnd.openxmlformats-officedocument.spreadsheetml.externalLink+xml"/>
  <Override PartName="/xl/externalLinks/externalLink1033.xml" ContentType="application/vnd.openxmlformats-officedocument.spreadsheetml.externalLink+xml"/>
  <Override PartName="/xl/externalLinks/externalLink1034.xml" ContentType="application/vnd.openxmlformats-officedocument.spreadsheetml.externalLink+xml"/>
  <Override PartName="/xl/externalLinks/externalLink1035.xml" ContentType="application/vnd.openxmlformats-officedocument.spreadsheetml.externalLink+xml"/>
  <Override PartName="/xl/externalLinks/externalLink1036.xml" ContentType="application/vnd.openxmlformats-officedocument.spreadsheetml.externalLink+xml"/>
  <Override PartName="/xl/externalLinks/externalLink1037.xml" ContentType="application/vnd.openxmlformats-officedocument.spreadsheetml.externalLink+xml"/>
  <Override PartName="/xl/externalLinks/externalLink1038.xml" ContentType="application/vnd.openxmlformats-officedocument.spreadsheetml.externalLink+xml"/>
  <Override PartName="/xl/externalLinks/externalLink1039.xml" ContentType="application/vnd.openxmlformats-officedocument.spreadsheetml.externalLink+xml"/>
  <Override PartName="/xl/externalLinks/externalLink1040.xml" ContentType="application/vnd.openxmlformats-officedocument.spreadsheetml.externalLink+xml"/>
  <Override PartName="/xl/externalLinks/externalLink1041.xml" ContentType="application/vnd.openxmlformats-officedocument.spreadsheetml.externalLink+xml"/>
  <Override PartName="/xl/externalLinks/externalLink1042.xml" ContentType="application/vnd.openxmlformats-officedocument.spreadsheetml.externalLink+xml"/>
  <Override PartName="/xl/externalLinks/externalLink1043.xml" ContentType="application/vnd.openxmlformats-officedocument.spreadsheetml.externalLink+xml"/>
  <Override PartName="/xl/externalLinks/externalLink1044.xml" ContentType="application/vnd.openxmlformats-officedocument.spreadsheetml.externalLink+xml"/>
  <Override PartName="/xl/externalLinks/externalLink1045.xml" ContentType="application/vnd.openxmlformats-officedocument.spreadsheetml.externalLink+xml"/>
  <Override PartName="/xl/externalLinks/externalLink1046.xml" ContentType="application/vnd.openxmlformats-officedocument.spreadsheetml.externalLink+xml"/>
  <Override PartName="/xl/externalLinks/externalLink1047.xml" ContentType="application/vnd.openxmlformats-officedocument.spreadsheetml.externalLink+xml"/>
  <Override PartName="/xl/externalLinks/externalLink1048.xml" ContentType="application/vnd.openxmlformats-officedocument.spreadsheetml.externalLink+xml"/>
  <Override PartName="/xl/externalLinks/externalLink1049.xml" ContentType="application/vnd.openxmlformats-officedocument.spreadsheetml.externalLink+xml"/>
  <Override PartName="/xl/externalLinks/externalLink1050.xml" ContentType="application/vnd.openxmlformats-officedocument.spreadsheetml.externalLink+xml"/>
  <Override PartName="/xl/externalLinks/externalLink1051.xml" ContentType="application/vnd.openxmlformats-officedocument.spreadsheetml.externalLink+xml"/>
  <Override PartName="/xl/externalLinks/externalLink1052.xml" ContentType="application/vnd.openxmlformats-officedocument.spreadsheetml.externalLink+xml"/>
  <Override PartName="/xl/externalLinks/externalLink1053.xml" ContentType="application/vnd.openxmlformats-officedocument.spreadsheetml.externalLink+xml"/>
  <Override PartName="/xl/externalLinks/externalLink1054.xml" ContentType="application/vnd.openxmlformats-officedocument.spreadsheetml.externalLink+xml"/>
  <Override PartName="/xl/externalLinks/externalLink1055.xml" ContentType="application/vnd.openxmlformats-officedocument.spreadsheetml.externalLink+xml"/>
  <Override PartName="/xl/externalLinks/externalLink1056.xml" ContentType="application/vnd.openxmlformats-officedocument.spreadsheetml.externalLink+xml"/>
  <Override PartName="/xl/externalLinks/externalLink1057.xml" ContentType="application/vnd.openxmlformats-officedocument.spreadsheetml.externalLink+xml"/>
  <Override PartName="/xl/externalLinks/externalLink1058.xml" ContentType="application/vnd.openxmlformats-officedocument.spreadsheetml.externalLink+xml"/>
  <Override PartName="/xl/externalLinks/externalLink1059.xml" ContentType="application/vnd.openxmlformats-officedocument.spreadsheetml.externalLink+xml"/>
  <Override PartName="/xl/externalLinks/externalLink1060.xml" ContentType="application/vnd.openxmlformats-officedocument.spreadsheetml.externalLink+xml"/>
  <Override PartName="/xl/externalLinks/externalLink1061.xml" ContentType="application/vnd.openxmlformats-officedocument.spreadsheetml.externalLink+xml"/>
  <Override PartName="/xl/externalLinks/externalLink1062.xml" ContentType="application/vnd.openxmlformats-officedocument.spreadsheetml.externalLink+xml"/>
  <Override PartName="/xl/externalLinks/externalLink1063.xml" ContentType="application/vnd.openxmlformats-officedocument.spreadsheetml.externalLink+xml"/>
  <Override PartName="/xl/externalLinks/externalLink1064.xml" ContentType="application/vnd.openxmlformats-officedocument.spreadsheetml.externalLink+xml"/>
  <Override PartName="/xl/externalLinks/externalLink1065.xml" ContentType="application/vnd.openxmlformats-officedocument.spreadsheetml.externalLink+xml"/>
  <Override PartName="/xl/externalLinks/externalLink1066.xml" ContentType="application/vnd.openxmlformats-officedocument.spreadsheetml.externalLink+xml"/>
  <Override PartName="/xl/externalLinks/externalLink1067.xml" ContentType="application/vnd.openxmlformats-officedocument.spreadsheetml.externalLink+xml"/>
  <Override PartName="/xl/externalLinks/externalLink1068.xml" ContentType="application/vnd.openxmlformats-officedocument.spreadsheetml.externalLink+xml"/>
  <Override PartName="/xl/externalLinks/externalLink1069.xml" ContentType="application/vnd.openxmlformats-officedocument.spreadsheetml.externalLink+xml"/>
  <Override PartName="/xl/externalLinks/externalLink1070.xml" ContentType="application/vnd.openxmlformats-officedocument.spreadsheetml.externalLink+xml"/>
  <Override PartName="/xl/externalLinks/externalLink1071.xml" ContentType="application/vnd.openxmlformats-officedocument.spreadsheetml.externalLink+xml"/>
  <Override PartName="/xl/externalLinks/externalLink1072.xml" ContentType="application/vnd.openxmlformats-officedocument.spreadsheetml.externalLink+xml"/>
  <Override PartName="/xl/externalLinks/externalLink1073.xml" ContentType="application/vnd.openxmlformats-officedocument.spreadsheetml.externalLink+xml"/>
  <Override PartName="/xl/externalLinks/externalLink1074.xml" ContentType="application/vnd.openxmlformats-officedocument.spreadsheetml.externalLink+xml"/>
  <Override PartName="/xl/externalLinks/externalLink1075.xml" ContentType="application/vnd.openxmlformats-officedocument.spreadsheetml.externalLink+xml"/>
  <Override PartName="/xl/externalLinks/externalLink1076.xml" ContentType="application/vnd.openxmlformats-officedocument.spreadsheetml.externalLink+xml"/>
  <Override PartName="/xl/externalLinks/externalLink1077.xml" ContentType="application/vnd.openxmlformats-officedocument.spreadsheetml.externalLink+xml"/>
  <Override PartName="/xl/externalLinks/externalLink1078.xml" ContentType="application/vnd.openxmlformats-officedocument.spreadsheetml.externalLink+xml"/>
  <Override PartName="/xl/externalLinks/externalLink1079.xml" ContentType="application/vnd.openxmlformats-officedocument.spreadsheetml.externalLink+xml"/>
  <Override PartName="/xl/externalLinks/externalLink1080.xml" ContentType="application/vnd.openxmlformats-officedocument.spreadsheetml.externalLink+xml"/>
  <Override PartName="/xl/externalLinks/externalLink1081.xml" ContentType="application/vnd.openxmlformats-officedocument.spreadsheetml.externalLink+xml"/>
  <Override PartName="/xl/externalLinks/externalLink1082.xml" ContentType="application/vnd.openxmlformats-officedocument.spreadsheetml.externalLink+xml"/>
  <Override PartName="/xl/externalLinks/externalLink1083.xml" ContentType="application/vnd.openxmlformats-officedocument.spreadsheetml.externalLink+xml"/>
  <Override PartName="/xl/externalLinks/externalLink1084.xml" ContentType="application/vnd.openxmlformats-officedocument.spreadsheetml.externalLink+xml"/>
  <Override PartName="/xl/externalLinks/externalLink1085.xml" ContentType="application/vnd.openxmlformats-officedocument.spreadsheetml.externalLink+xml"/>
  <Override PartName="/xl/externalLinks/externalLink1086.xml" ContentType="application/vnd.openxmlformats-officedocument.spreadsheetml.externalLink+xml"/>
  <Override PartName="/xl/externalLinks/externalLink1087.xml" ContentType="application/vnd.openxmlformats-officedocument.spreadsheetml.externalLink+xml"/>
  <Override PartName="/xl/externalLinks/externalLink1088.xml" ContentType="application/vnd.openxmlformats-officedocument.spreadsheetml.externalLink+xml"/>
  <Override PartName="/xl/externalLinks/externalLink1089.xml" ContentType="application/vnd.openxmlformats-officedocument.spreadsheetml.externalLink+xml"/>
  <Override PartName="/xl/externalLinks/externalLink1090.xml" ContentType="application/vnd.openxmlformats-officedocument.spreadsheetml.externalLink+xml"/>
  <Override PartName="/xl/externalLinks/externalLink1091.xml" ContentType="application/vnd.openxmlformats-officedocument.spreadsheetml.externalLink+xml"/>
  <Override PartName="/xl/externalLinks/externalLink1092.xml" ContentType="application/vnd.openxmlformats-officedocument.spreadsheetml.externalLink+xml"/>
  <Override PartName="/xl/externalLinks/externalLink1093.xml" ContentType="application/vnd.openxmlformats-officedocument.spreadsheetml.externalLink+xml"/>
  <Override PartName="/xl/externalLinks/externalLink1094.xml" ContentType="application/vnd.openxmlformats-officedocument.spreadsheetml.externalLink+xml"/>
  <Override PartName="/xl/externalLinks/externalLink1095.xml" ContentType="application/vnd.openxmlformats-officedocument.spreadsheetml.externalLink+xml"/>
  <Override PartName="/xl/externalLinks/externalLink1096.xml" ContentType="application/vnd.openxmlformats-officedocument.spreadsheetml.externalLink+xml"/>
  <Override PartName="/xl/externalLinks/externalLink1097.xml" ContentType="application/vnd.openxmlformats-officedocument.spreadsheetml.externalLink+xml"/>
  <Override PartName="/xl/externalLinks/externalLink1098.xml" ContentType="application/vnd.openxmlformats-officedocument.spreadsheetml.externalLink+xml"/>
  <Override PartName="/xl/externalLinks/externalLink1099.xml" ContentType="application/vnd.openxmlformats-officedocument.spreadsheetml.externalLink+xml"/>
  <Override PartName="/xl/externalLinks/externalLink1100.xml" ContentType="application/vnd.openxmlformats-officedocument.spreadsheetml.externalLink+xml"/>
  <Override PartName="/xl/externalLinks/externalLink1101.xml" ContentType="application/vnd.openxmlformats-officedocument.spreadsheetml.externalLink+xml"/>
  <Override PartName="/xl/externalLinks/externalLink1102.xml" ContentType="application/vnd.openxmlformats-officedocument.spreadsheetml.externalLink+xml"/>
  <Override PartName="/xl/externalLinks/externalLink1103.xml" ContentType="application/vnd.openxmlformats-officedocument.spreadsheetml.externalLink+xml"/>
  <Override PartName="/xl/externalLinks/externalLink1104.xml" ContentType="application/vnd.openxmlformats-officedocument.spreadsheetml.externalLink+xml"/>
  <Override PartName="/xl/externalLinks/externalLink1105.xml" ContentType="application/vnd.openxmlformats-officedocument.spreadsheetml.externalLink+xml"/>
  <Override PartName="/xl/externalLinks/externalLink1106.xml" ContentType="application/vnd.openxmlformats-officedocument.spreadsheetml.externalLink+xml"/>
  <Override PartName="/xl/externalLinks/externalLink1107.xml" ContentType="application/vnd.openxmlformats-officedocument.spreadsheetml.externalLink+xml"/>
  <Override PartName="/xl/externalLinks/externalLink1108.xml" ContentType="application/vnd.openxmlformats-officedocument.spreadsheetml.externalLink+xml"/>
  <Override PartName="/xl/externalLinks/externalLink1109.xml" ContentType="application/vnd.openxmlformats-officedocument.spreadsheetml.externalLink+xml"/>
  <Override PartName="/xl/externalLinks/externalLink1110.xml" ContentType="application/vnd.openxmlformats-officedocument.spreadsheetml.externalLink+xml"/>
  <Override PartName="/xl/externalLinks/externalLink1111.xml" ContentType="application/vnd.openxmlformats-officedocument.spreadsheetml.externalLink+xml"/>
  <Override PartName="/xl/externalLinks/externalLink1112.xml" ContentType="application/vnd.openxmlformats-officedocument.spreadsheetml.externalLink+xml"/>
  <Override PartName="/xl/externalLinks/externalLink1113.xml" ContentType="application/vnd.openxmlformats-officedocument.spreadsheetml.externalLink+xml"/>
  <Override PartName="/xl/externalLinks/externalLink1114.xml" ContentType="application/vnd.openxmlformats-officedocument.spreadsheetml.externalLink+xml"/>
  <Override PartName="/xl/externalLinks/externalLink1115.xml" ContentType="application/vnd.openxmlformats-officedocument.spreadsheetml.externalLink+xml"/>
  <Override PartName="/xl/externalLinks/externalLink1116.xml" ContentType="application/vnd.openxmlformats-officedocument.spreadsheetml.externalLink+xml"/>
  <Override PartName="/xl/externalLinks/externalLink1117.xml" ContentType="application/vnd.openxmlformats-officedocument.spreadsheetml.externalLink+xml"/>
  <Override PartName="/xl/externalLinks/externalLink1118.xml" ContentType="application/vnd.openxmlformats-officedocument.spreadsheetml.externalLink+xml"/>
  <Override PartName="/xl/externalLinks/externalLink1119.xml" ContentType="application/vnd.openxmlformats-officedocument.spreadsheetml.externalLink+xml"/>
  <Override PartName="/xl/externalLinks/externalLink1120.xml" ContentType="application/vnd.openxmlformats-officedocument.spreadsheetml.externalLink+xml"/>
  <Override PartName="/xl/externalLinks/externalLink1121.xml" ContentType="application/vnd.openxmlformats-officedocument.spreadsheetml.externalLink+xml"/>
  <Override PartName="/xl/externalLinks/externalLink1122.xml" ContentType="application/vnd.openxmlformats-officedocument.spreadsheetml.externalLink+xml"/>
  <Override PartName="/xl/externalLinks/externalLink1123.xml" ContentType="application/vnd.openxmlformats-officedocument.spreadsheetml.externalLink+xml"/>
  <Override PartName="/xl/externalLinks/externalLink1124.xml" ContentType="application/vnd.openxmlformats-officedocument.spreadsheetml.externalLink+xml"/>
  <Override PartName="/xl/externalLinks/externalLink1125.xml" ContentType="application/vnd.openxmlformats-officedocument.spreadsheetml.externalLink+xml"/>
  <Override PartName="/xl/externalLinks/externalLink1126.xml" ContentType="application/vnd.openxmlformats-officedocument.spreadsheetml.externalLink+xml"/>
  <Override PartName="/xl/externalLinks/externalLink1127.xml" ContentType="application/vnd.openxmlformats-officedocument.spreadsheetml.externalLink+xml"/>
  <Override PartName="/xl/externalLinks/externalLink1128.xml" ContentType="application/vnd.openxmlformats-officedocument.spreadsheetml.externalLink+xml"/>
  <Override PartName="/xl/externalLinks/externalLink1129.xml" ContentType="application/vnd.openxmlformats-officedocument.spreadsheetml.externalLink+xml"/>
  <Override PartName="/xl/externalLinks/externalLink1130.xml" ContentType="application/vnd.openxmlformats-officedocument.spreadsheetml.externalLink+xml"/>
  <Override PartName="/xl/externalLinks/externalLink1131.xml" ContentType="application/vnd.openxmlformats-officedocument.spreadsheetml.externalLink+xml"/>
  <Override PartName="/xl/externalLinks/externalLink1132.xml" ContentType="application/vnd.openxmlformats-officedocument.spreadsheetml.externalLink+xml"/>
  <Override PartName="/xl/externalLinks/externalLink1133.xml" ContentType="application/vnd.openxmlformats-officedocument.spreadsheetml.externalLink+xml"/>
  <Override PartName="/xl/externalLinks/externalLink1134.xml" ContentType="application/vnd.openxmlformats-officedocument.spreadsheetml.externalLink+xml"/>
  <Override PartName="/xl/externalLinks/externalLink1135.xml" ContentType="application/vnd.openxmlformats-officedocument.spreadsheetml.externalLink+xml"/>
  <Override PartName="/xl/externalLinks/externalLink1136.xml" ContentType="application/vnd.openxmlformats-officedocument.spreadsheetml.externalLink+xml"/>
  <Override PartName="/xl/externalLinks/externalLink1137.xml" ContentType="application/vnd.openxmlformats-officedocument.spreadsheetml.externalLink+xml"/>
  <Override PartName="/xl/externalLinks/externalLink1138.xml" ContentType="application/vnd.openxmlformats-officedocument.spreadsheetml.externalLink+xml"/>
  <Override PartName="/xl/externalLinks/externalLink1139.xml" ContentType="application/vnd.openxmlformats-officedocument.spreadsheetml.externalLink+xml"/>
  <Override PartName="/xl/externalLinks/externalLink1140.xml" ContentType="application/vnd.openxmlformats-officedocument.spreadsheetml.externalLink+xml"/>
  <Override PartName="/xl/externalLinks/externalLink1141.xml" ContentType="application/vnd.openxmlformats-officedocument.spreadsheetml.externalLink+xml"/>
  <Override PartName="/xl/externalLinks/externalLink1142.xml" ContentType="application/vnd.openxmlformats-officedocument.spreadsheetml.externalLink+xml"/>
  <Override PartName="/xl/externalLinks/externalLink1143.xml" ContentType="application/vnd.openxmlformats-officedocument.spreadsheetml.externalLink+xml"/>
  <Override PartName="/xl/externalLinks/externalLink1144.xml" ContentType="application/vnd.openxmlformats-officedocument.spreadsheetml.externalLink+xml"/>
  <Override PartName="/xl/externalLinks/externalLink1145.xml" ContentType="application/vnd.openxmlformats-officedocument.spreadsheetml.externalLink+xml"/>
  <Override PartName="/xl/externalLinks/externalLink1146.xml" ContentType="application/vnd.openxmlformats-officedocument.spreadsheetml.externalLink+xml"/>
  <Override PartName="/xl/externalLinks/externalLink1147.xml" ContentType="application/vnd.openxmlformats-officedocument.spreadsheetml.externalLink+xml"/>
  <Override PartName="/xl/externalLinks/externalLink1148.xml" ContentType="application/vnd.openxmlformats-officedocument.spreadsheetml.externalLink+xml"/>
  <Override PartName="/xl/externalLinks/externalLink1149.xml" ContentType="application/vnd.openxmlformats-officedocument.spreadsheetml.externalLink+xml"/>
  <Override PartName="/xl/externalLinks/externalLink1150.xml" ContentType="application/vnd.openxmlformats-officedocument.spreadsheetml.externalLink+xml"/>
  <Override PartName="/xl/externalLinks/externalLink1151.xml" ContentType="application/vnd.openxmlformats-officedocument.spreadsheetml.externalLink+xml"/>
  <Override PartName="/xl/externalLinks/externalLink1152.xml" ContentType="application/vnd.openxmlformats-officedocument.spreadsheetml.externalLink+xml"/>
  <Override PartName="/xl/externalLinks/externalLink1153.xml" ContentType="application/vnd.openxmlformats-officedocument.spreadsheetml.externalLink+xml"/>
  <Override PartName="/xl/externalLinks/externalLink1154.xml" ContentType="application/vnd.openxmlformats-officedocument.spreadsheetml.externalLink+xml"/>
  <Override PartName="/xl/externalLinks/externalLink1155.xml" ContentType="application/vnd.openxmlformats-officedocument.spreadsheetml.externalLink+xml"/>
  <Override PartName="/xl/externalLinks/externalLink1156.xml" ContentType="application/vnd.openxmlformats-officedocument.spreadsheetml.externalLink+xml"/>
  <Override PartName="/xl/externalLinks/externalLink1157.xml" ContentType="application/vnd.openxmlformats-officedocument.spreadsheetml.externalLink+xml"/>
  <Override PartName="/xl/externalLinks/externalLink1158.xml" ContentType="application/vnd.openxmlformats-officedocument.spreadsheetml.externalLink+xml"/>
  <Override PartName="/xl/externalLinks/externalLink1159.xml" ContentType="application/vnd.openxmlformats-officedocument.spreadsheetml.externalLink+xml"/>
  <Override PartName="/xl/externalLinks/externalLink1160.xml" ContentType="application/vnd.openxmlformats-officedocument.spreadsheetml.externalLink+xml"/>
  <Override PartName="/xl/externalLinks/externalLink1161.xml" ContentType="application/vnd.openxmlformats-officedocument.spreadsheetml.externalLink+xml"/>
  <Override PartName="/xl/externalLinks/externalLink1162.xml" ContentType="application/vnd.openxmlformats-officedocument.spreadsheetml.externalLink+xml"/>
  <Override PartName="/xl/externalLinks/externalLink1163.xml" ContentType="application/vnd.openxmlformats-officedocument.spreadsheetml.externalLink+xml"/>
  <Override PartName="/xl/externalLinks/externalLink1164.xml" ContentType="application/vnd.openxmlformats-officedocument.spreadsheetml.externalLink+xml"/>
  <Override PartName="/xl/externalLinks/externalLink1165.xml" ContentType="application/vnd.openxmlformats-officedocument.spreadsheetml.externalLink+xml"/>
  <Override PartName="/xl/externalLinks/externalLink11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00000 PLAN NACIONAL DE ESTADISTICA JUDICIAL\3002 Actividad de los Órganos Judiciales -Series Estadisticas\Modelos -PROVINCIAS\FICHEROS A PUBLICAR\"/>
    </mc:Choice>
  </mc:AlternateContent>
  <xr:revisionPtr revIDLastSave="0" documentId="13_ncr:1_{1ED0091F-FB66-4D9B-B076-F1A0170C0E0A}" xr6:coauthVersionLast="47" xr6:coauthVersionMax="47" xr10:uidLastSave="{00000000-0000-0000-0000-000000000000}"/>
  <bookViews>
    <workbookView xWindow="-120" yWindow="-120" windowWidth="29040" windowHeight="15840" tabRatio="691" xr2:uid="{00000000-000D-0000-FFFF-FFFF00000000}"/>
  </bookViews>
  <sheets>
    <sheet name="Introducción" sheetId="15" r:id="rId1"/>
    <sheet name="Serie Total" sheetId="10" r:id="rId2"/>
    <sheet name="Serie civil" sheetId="12" r:id="rId3"/>
    <sheet name="Serie penal" sheetId="11" r:id="rId4"/>
    <sheet name="Serie contencioso" sheetId="13" r:id="rId5"/>
    <sheet name="Serie social" sheetId="14" r:id="rId6"/>
    <sheet name="2022" sheetId="34" r:id="rId7"/>
    <sheet name="2021" sheetId="33" r:id="rId8"/>
    <sheet name="2020" sheetId="32" r:id="rId9"/>
    <sheet name="2019" sheetId="31" r:id="rId10"/>
    <sheet name="2018" sheetId="29" r:id="rId11"/>
    <sheet name="2017" sheetId="28" r:id="rId12"/>
    <sheet name="2016" sheetId="26" r:id="rId13"/>
    <sheet name="2015" sheetId="25" r:id="rId14"/>
    <sheet name="2014" sheetId="24" r:id="rId15"/>
    <sheet name="2013" sheetId="22" r:id="rId16"/>
    <sheet name="2012" sheetId="20" r:id="rId17"/>
    <sheet name="2011" sheetId="17" r:id="rId18"/>
    <sheet name="2010" sheetId="16" r:id="rId19"/>
    <sheet name="2009" sheetId="1" r:id="rId20"/>
    <sheet name="2008" sheetId="2" r:id="rId21"/>
    <sheet name="2007" sheetId="3" r:id="rId22"/>
    <sheet name="2006" sheetId="9" r:id="rId23"/>
    <sheet name="2005" sheetId="8" r:id="rId24"/>
    <sheet name="2004" sheetId="7" r:id="rId25"/>
    <sheet name="2003" sheetId="6" r:id="rId26"/>
    <sheet name="2002" sheetId="5" r:id="rId27"/>
    <sheet name="2001" sheetId="4" r:id="rId28"/>
    <sheet name="Población" sheetId="19" r:id="rId29"/>
    <sheet name="Poblacion INE" sheetId="30" state="hidden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  <externalReference r:id="rId459"/>
    <externalReference r:id="rId460"/>
    <externalReference r:id="rId461"/>
    <externalReference r:id="rId462"/>
    <externalReference r:id="rId463"/>
    <externalReference r:id="rId464"/>
    <externalReference r:id="rId465"/>
    <externalReference r:id="rId466"/>
    <externalReference r:id="rId467"/>
    <externalReference r:id="rId468"/>
    <externalReference r:id="rId469"/>
    <externalReference r:id="rId470"/>
    <externalReference r:id="rId471"/>
    <externalReference r:id="rId472"/>
    <externalReference r:id="rId473"/>
    <externalReference r:id="rId474"/>
    <externalReference r:id="rId475"/>
    <externalReference r:id="rId476"/>
    <externalReference r:id="rId477"/>
    <externalReference r:id="rId478"/>
    <externalReference r:id="rId479"/>
    <externalReference r:id="rId480"/>
    <externalReference r:id="rId481"/>
    <externalReference r:id="rId482"/>
    <externalReference r:id="rId483"/>
    <externalReference r:id="rId484"/>
    <externalReference r:id="rId485"/>
    <externalReference r:id="rId486"/>
    <externalReference r:id="rId487"/>
    <externalReference r:id="rId488"/>
    <externalReference r:id="rId489"/>
    <externalReference r:id="rId490"/>
    <externalReference r:id="rId491"/>
    <externalReference r:id="rId492"/>
    <externalReference r:id="rId493"/>
    <externalReference r:id="rId494"/>
    <externalReference r:id="rId495"/>
    <externalReference r:id="rId496"/>
    <externalReference r:id="rId497"/>
    <externalReference r:id="rId498"/>
    <externalReference r:id="rId499"/>
    <externalReference r:id="rId500"/>
    <externalReference r:id="rId501"/>
    <externalReference r:id="rId502"/>
    <externalReference r:id="rId503"/>
    <externalReference r:id="rId504"/>
    <externalReference r:id="rId505"/>
    <externalReference r:id="rId506"/>
    <externalReference r:id="rId507"/>
    <externalReference r:id="rId508"/>
    <externalReference r:id="rId509"/>
    <externalReference r:id="rId510"/>
    <externalReference r:id="rId511"/>
    <externalReference r:id="rId512"/>
    <externalReference r:id="rId513"/>
    <externalReference r:id="rId514"/>
    <externalReference r:id="rId515"/>
    <externalReference r:id="rId516"/>
    <externalReference r:id="rId517"/>
    <externalReference r:id="rId518"/>
    <externalReference r:id="rId519"/>
    <externalReference r:id="rId520"/>
    <externalReference r:id="rId521"/>
    <externalReference r:id="rId522"/>
    <externalReference r:id="rId523"/>
    <externalReference r:id="rId524"/>
    <externalReference r:id="rId525"/>
    <externalReference r:id="rId526"/>
    <externalReference r:id="rId527"/>
    <externalReference r:id="rId528"/>
    <externalReference r:id="rId529"/>
    <externalReference r:id="rId530"/>
    <externalReference r:id="rId531"/>
    <externalReference r:id="rId532"/>
    <externalReference r:id="rId533"/>
    <externalReference r:id="rId534"/>
    <externalReference r:id="rId535"/>
    <externalReference r:id="rId536"/>
    <externalReference r:id="rId537"/>
    <externalReference r:id="rId538"/>
    <externalReference r:id="rId539"/>
    <externalReference r:id="rId540"/>
    <externalReference r:id="rId541"/>
    <externalReference r:id="rId542"/>
    <externalReference r:id="rId543"/>
    <externalReference r:id="rId544"/>
    <externalReference r:id="rId545"/>
    <externalReference r:id="rId546"/>
    <externalReference r:id="rId547"/>
    <externalReference r:id="rId548"/>
    <externalReference r:id="rId549"/>
    <externalReference r:id="rId550"/>
    <externalReference r:id="rId551"/>
    <externalReference r:id="rId552"/>
    <externalReference r:id="rId553"/>
    <externalReference r:id="rId554"/>
    <externalReference r:id="rId555"/>
    <externalReference r:id="rId556"/>
    <externalReference r:id="rId557"/>
    <externalReference r:id="rId558"/>
    <externalReference r:id="rId559"/>
    <externalReference r:id="rId560"/>
    <externalReference r:id="rId561"/>
    <externalReference r:id="rId562"/>
    <externalReference r:id="rId563"/>
    <externalReference r:id="rId564"/>
    <externalReference r:id="rId565"/>
    <externalReference r:id="rId566"/>
    <externalReference r:id="rId567"/>
    <externalReference r:id="rId568"/>
    <externalReference r:id="rId569"/>
    <externalReference r:id="rId570"/>
    <externalReference r:id="rId571"/>
    <externalReference r:id="rId572"/>
    <externalReference r:id="rId573"/>
    <externalReference r:id="rId574"/>
    <externalReference r:id="rId575"/>
    <externalReference r:id="rId576"/>
    <externalReference r:id="rId577"/>
    <externalReference r:id="rId578"/>
    <externalReference r:id="rId579"/>
    <externalReference r:id="rId580"/>
    <externalReference r:id="rId581"/>
    <externalReference r:id="rId582"/>
    <externalReference r:id="rId583"/>
    <externalReference r:id="rId584"/>
    <externalReference r:id="rId585"/>
    <externalReference r:id="rId586"/>
    <externalReference r:id="rId587"/>
    <externalReference r:id="rId588"/>
    <externalReference r:id="rId589"/>
    <externalReference r:id="rId590"/>
    <externalReference r:id="rId591"/>
    <externalReference r:id="rId592"/>
    <externalReference r:id="rId593"/>
    <externalReference r:id="rId594"/>
    <externalReference r:id="rId595"/>
    <externalReference r:id="rId596"/>
    <externalReference r:id="rId597"/>
    <externalReference r:id="rId598"/>
    <externalReference r:id="rId599"/>
    <externalReference r:id="rId600"/>
    <externalReference r:id="rId601"/>
    <externalReference r:id="rId602"/>
    <externalReference r:id="rId603"/>
    <externalReference r:id="rId604"/>
    <externalReference r:id="rId605"/>
    <externalReference r:id="rId606"/>
    <externalReference r:id="rId607"/>
    <externalReference r:id="rId608"/>
    <externalReference r:id="rId609"/>
    <externalReference r:id="rId610"/>
    <externalReference r:id="rId611"/>
    <externalReference r:id="rId612"/>
    <externalReference r:id="rId613"/>
    <externalReference r:id="rId614"/>
    <externalReference r:id="rId615"/>
    <externalReference r:id="rId616"/>
    <externalReference r:id="rId617"/>
    <externalReference r:id="rId618"/>
    <externalReference r:id="rId619"/>
    <externalReference r:id="rId620"/>
    <externalReference r:id="rId621"/>
    <externalReference r:id="rId622"/>
    <externalReference r:id="rId623"/>
    <externalReference r:id="rId624"/>
    <externalReference r:id="rId625"/>
    <externalReference r:id="rId626"/>
    <externalReference r:id="rId627"/>
    <externalReference r:id="rId628"/>
    <externalReference r:id="rId629"/>
    <externalReference r:id="rId630"/>
    <externalReference r:id="rId631"/>
    <externalReference r:id="rId632"/>
    <externalReference r:id="rId633"/>
    <externalReference r:id="rId634"/>
    <externalReference r:id="rId635"/>
    <externalReference r:id="rId636"/>
    <externalReference r:id="rId637"/>
    <externalReference r:id="rId638"/>
    <externalReference r:id="rId639"/>
    <externalReference r:id="rId640"/>
    <externalReference r:id="rId641"/>
    <externalReference r:id="rId642"/>
    <externalReference r:id="rId643"/>
    <externalReference r:id="rId644"/>
    <externalReference r:id="rId645"/>
    <externalReference r:id="rId646"/>
    <externalReference r:id="rId647"/>
    <externalReference r:id="rId648"/>
    <externalReference r:id="rId649"/>
    <externalReference r:id="rId650"/>
    <externalReference r:id="rId651"/>
    <externalReference r:id="rId652"/>
    <externalReference r:id="rId653"/>
    <externalReference r:id="rId654"/>
    <externalReference r:id="rId655"/>
    <externalReference r:id="rId656"/>
    <externalReference r:id="rId657"/>
    <externalReference r:id="rId658"/>
    <externalReference r:id="rId659"/>
    <externalReference r:id="rId660"/>
    <externalReference r:id="rId661"/>
    <externalReference r:id="rId662"/>
    <externalReference r:id="rId663"/>
    <externalReference r:id="rId664"/>
    <externalReference r:id="rId665"/>
    <externalReference r:id="rId666"/>
    <externalReference r:id="rId667"/>
    <externalReference r:id="rId668"/>
    <externalReference r:id="rId669"/>
    <externalReference r:id="rId670"/>
    <externalReference r:id="rId671"/>
    <externalReference r:id="rId672"/>
    <externalReference r:id="rId673"/>
    <externalReference r:id="rId674"/>
    <externalReference r:id="rId675"/>
    <externalReference r:id="rId676"/>
    <externalReference r:id="rId677"/>
    <externalReference r:id="rId678"/>
    <externalReference r:id="rId679"/>
    <externalReference r:id="rId680"/>
    <externalReference r:id="rId681"/>
    <externalReference r:id="rId682"/>
    <externalReference r:id="rId683"/>
    <externalReference r:id="rId684"/>
    <externalReference r:id="rId685"/>
    <externalReference r:id="rId686"/>
    <externalReference r:id="rId687"/>
    <externalReference r:id="rId688"/>
    <externalReference r:id="rId689"/>
    <externalReference r:id="rId690"/>
    <externalReference r:id="rId691"/>
    <externalReference r:id="rId692"/>
    <externalReference r:id="rId693"/>
    <externalReference r:id="rId694"/>
    <externalReference r:id="rId695"/>
    <externalReference r:id="rId696"/>
    <externalReference r:id="rId697"/>
    <externalReference r:id="rId698"/>
    <externalReference r:id="rId699"/>
    <externalReference r:id="rId700"/>
    <externalReference r:id="rId701"/>
    <externalReference r:id="rId702"/>
    <externalReference r:id="rId703"/>
    <externalReference r:id="rId704"/>
    <externalReference r:id="rId705"/>
    <externalReference r:id="rId706"/>
    <externalReference r:id="rId707"/>
    <externalReference r:id="rId708"/>
    <externalReference r:id="rId709"/>
    <externalReference r:id="rId710"/>
    <externalReference r:id="rId711"/>
    <externalReference r:id="rId712"/>
    <externalReference r:id="rId713"/>
    <externalReference r:id="rId714"/>
    <externalReference r:id="rId715"/>
    <externalReference r:id="rId716"/>
    <externalReference r:id="rId717"/>
    <externalReference r:id="rId718"/>
    <externalReference r:id="rId719"/>
    <externalReference r:id="rId720"/>
    <externalReference r:id="rId721"/>
    <externalReference r:id="rId722"/>
    <externalReference r:id="rId723"/>
    <externalReference r:id="rId724"/>
    <externalReference r:id="rId725"/>
    <externalReference r:id="rId726"/>
    <externalReference r:id="rId727"/>
    <externalReference r:id="rId728"/>
    <externalReference r:id="rId729"/>
    <externalReference r:id="rId730"/>
    <externalReference r:id="rId731"/>
    <externalReference r:id="rId732"/>
    <externalReference r:id="rId733"/>
    <externalReference r:id="rId734"/>
    <externalReference r:id="rId735"/>
    <externalReference r:id="rId736"/>
    <externalReference r:id="rId737"/>
    <externalReference r:id="rId738"/>
    <externalReference r:id="rId739"/>
    <externalReference r:id="rId740"/>
    <externalReference r:id="rId741"/>
    <externalReference r:id="rId742"/>
    <externalReference r:id="rId743"/>
    <externalReference r:id="rId744"/>
    <externalReference r:id="rId745"/>
    <externalReference r:id="rId746"/>
    <externalReference r:id="rId747"/>
    <externalReference r:id="rId748"/>
    <externalReference r:id="rId749"/>
    <externalReference r:id="rId750"/>
    <externalReference r:id="rId751"/>
    <externalReference r:id="rId752"/>
    <externalReference r:id="rId753"/>
    <externalReference r:id="rId754"/>
    <externalReference r:id="rId755"/>
    <externalReference r:id="rId756"/>
    <externalReference r:id="rId757"/>
    <externalReference r:id="rId758"/>
    <externalReference r:id="rId759"/>
    <externalReference r:id="rId760"/>
    <externalReference r:id="rId761"/>
    <externalReference r:id="rId762"/>
    <externalReference r:id="rId763"/>
    <externalReference r:id="rId764"/>
    <externalReference r:id="rId765"/>
    <externalReference r:id="rId766"/>
    <externalReference r:id="rId767"/>
    <externalReference r:id="rId768"/>
    <externalReference r:id="rId769"/>
    <externalReference r:id="rId770"/>
    <externalReference r:id="rId771"/>
    <externalReference r:id="rId772"/>
    <externalReference r:id="rId773"/>
    <externalReference r:id="rId774"/>
    <externalReference r:id="rId775"/>
    <externalReference r:id="rId776"/>
    <externalReference r:id="rId777"/>
    <externalReference r:id="rId778"/>
    <externalReference r:id="rId779"/>
    <externalReference r:id="rId780"/>
    <externalReference r:id="rId781"/>
    <externalReference r:id="rId782"/>
    <externalReference r:id="rId783"/>
    <externalReference r:id="rId784"/>
    <externalReference r:id="rId785"/>
    <externalReference r:id="rId786"/>
    <externalReference r:id="rId787"/>
    <externalReference r:id="rId788"/>
    <externalReference r:id="rId789"/>
    <externalReference r:id="rId790"/>
    <externalReference r:id="rId791"/>
    <externalReference r:id="rId792"/>
    <externalReference r:id="rId793"/>
    <externalReference r:id="rId794"/>
    <externalReference r:id="rId795"/>
    <externalReference r:id="rId796"/>
    <externalReference r:id="rId797"/>
    <externalReference r:id="rId798"/>
    <externalReference r:id="rId799"/>
    <externalReference r:id="rId800"/>
    <externalReference r:id="rId801"/>
    <externalReference r:id="rId802"/>
    <externalReference r:id="rId803"/>
    <externalReference r:id="rId804"/>
    <externalReference r:id="rId805"/>
    <externalReference r:id="rId806"/>
    <externalReference r:id="rId807"/>
    <externalReference r:id="rId808"/>
    <externalReference r:id="rId809"/>
    <externalReference r:id="rId810"/>
    <externalReference r:id="rId811"/>
    <externalReference r:id="rId812"/>
    <externalReference r:id="rId813"/>
    <externalReference r:id="rId814"/>
    <externalReference r:id="rId815"/>
    <externalReference r:id="rId816"/>
    <externalReference r:id="rId817"/>
    <externalReference r:id="rId818"/>
    <externalReference r:id="rId819"/>
    <externalReference r:id="rId820"/>
    <externalReference r:id="rId821"/>
    <externalReference r:id="rId822"/>
    <externalReference r:id="rId823"/>
    <externalReference r:id="rId824"/>
    <externalReference r:id="rId825"/>
    <externalReference r:id="rId826"/>
    <externalReference r:id="rId827"/>
    <externalReference r:id="rId828"/>
    <externalReference r:id="rId829"/>
    <externalReference r:id="rId830"/>
    <externalReference r:id="rId831"/>
    <externalReference r:id="rId832"/>
    <externalReference r:id="rId833"/>
    <externalReference r:id="rId834"/>
    <externalReference r:id="rId835"/>
    <externalReference r:id="rId836"/>
    <externalReference r:id="rId837"/>
    <externalReference r:id="rId838"/>
    <externalReference r:id="rId839"/>
    <externalReference r:id="rId840"/>
    <externalReference r:id="rId841"/>
    <externalReference r:id="rId842"/>
    <externalReference r:id="rId843"/>
    <externalReference r:id="rId844"/>
    <externalReference r:id="rId845"/>
    <externalReference r:id="rId846"/>
    <externalReference r:id="rId847"/>
    <externalReference r:id="rId848"/>
    <externalReference r:id="rId849"/>
    <externalReference r:id="rId850"/>
    <externalReference r:id="rId851"/>
    <externalReference r:id="rId852"/>
    <externalReference r:id="rId853"/>
    <externalReference r:id="rId854"/>
    <externalReference r:id="rId855"/>
    <externalReference r:id="rId856"/>
    <externalReference r:id="rId857"/>
    <externalReference r:id="rId858"/>
    <externalReference r:id="rId859"/>
    <externalReference r:id="rId860"/>
    <externalReference r:id="rId861"/>
    <externalReference r:id="rId862"/>
    <externalReference r:id="rId863"/>
    <externalReference r:id="rId864"/>
    <externalReference r:id="rId865"/>
    <externalReference r:id="rId866"/>
    <externalReference r:id="rId867"/>
    <externalReference r:id="rId868"/>
    <externalReference r:id="rId869"/>
    <externalReference r:id="rId870"/>
    <externalReference r:id="rId871"/>
    <externalReference r:id="rId872"/>
    <externalReference r:id="rId873"/>
    <externalReference r:id="rId874"/>
    <externalReference r:id="rId875"/>
    <externalReference r:id="rId876"/>
    <externalReference r:id="rId877"/>
    <externalReference r:id="rId878"/>
    <externalReference r:id="rId879"/>
    <externalReference r:id="rId880"/>
    <externalReference r:id="rId881"/>
    <externalReference r:id="rId882"/>
    <externalReference r:id="rId883"/>
    <externalReference r:id="rId884"/>
    <externalReference r:id="rId885"/>
    <externalReference r:id="rId886"/>
    <externalReference r:id="rId887"/>
    <externalReference r:id="rId888"/>
    <externalReference r:id="rId889"/>
    <externalReference r:id="rId890"/>
    <externalReference r:id="rId891"/>
    <externalReference r:id="rId892"/>
    <externalReference r:id="rId893"/>
    <externalReference r:id="rId894"/>
    <externalReference r:id="rId895"/>
    <externalReference r:id="rId896"/>
    <externalReference r:id="rId897"/>
    <externalReference r:id="rId898"/>
    <externalReference r:id="rId899"/>
    <externalReference r:id="rId900"/>
    <externalReference r:id="rId901"/>
    <externalReference r:id="rId902"/>
    <externalReference r:id="rId903"/>
    <externalReference r:id="rId904"/>
    <externalReference r:id="rId905"/>
    <externalReference r:id="rId906"/>
    <externalReference r:id="rId907"/>
    <externalReference r:id="rId908"/>
    <externalReference r:id="rId909"/>
    <externalReference r:id="rId910"/>
    <externalReference r:id="rId911"/>
    <externalReference r:id="rId912"/>
    <externalReference r:id="rId913"/>
    <externalReference r:id="rId914"/>
    <externalReference r:id="rId915"/>
    <externalReference r:id="rId916"/>
    <externalReference r:id="rId917"/>
    <externalReference r:id="rId918"/>
    <externalReference r:id="rId919"/>
    <externalReference r:id="rId920"/>
    <externalReference r:id="rId921"/>
    <externalReference r:id="rId922"/>
    <externalReference r:id="rId923"/>
    <externalReference r:id="rId924"/>
    <externalReference r:id="rId925"/>
    <externalReference r:id="rId926"/>
    <externalReference r:id="rId927"/>
    <externalReference r:id="rId928"/>
    <externalReference r:id="rId929"/>
    <externalReference r:id="rId930"/>
    <externalReference r:id="rId931"/>
    <externalReference r:id="rId932"/>
    <externalReference r:id="rId933"/>
    <externalReference r:id="rId934"/>
    <externalReference r:id="rId935"/>
    <externalReference r:id="rId936"/>
    <externalReference r:id="rId937"/>
    <externalReference r:id="rId938"/>
    <externalReference r:id="rId939"/>
    <externalReference r:id="rId940"/>
    <externalReference r:id="rId941"/>
    <externalReference r:id="rId942"/>
    <externalReference r:id="rId943"/>
    <externalReference r:id="rId944"/>
    <externalReference r:id="rId945"/>
    <externalReference r:id="rId946"/>
    <externalReference r:id="rId947"/>
    <externalReference r:id="rId948"/>
    <externalReference r:id="rId949"/>
    <externalReference r:id="rId950"/>
    <externalReference r:id="rId951"/>
    <externalReference r:id="rId952"/>
    <externalReference r:id="rId953"/>
    <externalReference r:id="rId954"/>
    <externalReference r:id="rId955"/>
    <externalReference r:id="rId956"/>
    <externalReference r:id="rId957"/>
    <externalReference r:id="rId958"/>
    <externalReference r:id="rId959"/>
    <externalReference r:id="rId960"/>
    <externalReference r:id="rId961"/>
    <externalReference r:id="rId962"/>
    <externalReference r:id="rId963"/>
    <externalReference r:id="rId964"/>
    <externalReference r:id="rId965"/>
    <externalReference r:id="rId966"/>
    <externalReference r:id="rId967"/>
    <externalReference r:id="rId968"/>
    <externalReference r:id="rId969"/>
    <externalReference r:id="rId970"/>
    <externalReference r:id="rId971"/>
    <externalReference r:id="rId972"/>
    <externalReference r:id="rId973"/>
    <externalReference r:id="rId974"/>
    <externalReference r:id="rId975"/>
    <externalReference r:id="rId976"/>
    <externalReference r:id="rId977"/>
    <externalReference r:id="rId978"/>
    <externalReference r:id="rId979"/>
    <externalReference r:id="rId980"/>
    <externalReference r:id="rId981"/>
    <externalReference r:id="rId982"/>
    <externalReference r:id="rId983"/>
    <externalReference r:id="rId984"/>
    <externalReference r:id="rId985"/>
    <externalReference r:id="rId986"/>
    <externalReference r:id="rId987"/>
    <externalReference r:id="rId988"/>
    <externalReference r:id="rId989"/>
    <externalReference r:id="rId990"/>
    <externalReference r:id="rId991"/>
    <externalReference r:id="rId992"/>
    <externalReference r:id="rId993"/>
    <externalReference r:id="rId994"/>
    <externalReference r:id="rId995"/>
    <externalReference r:id="rId996"/>
    <externalReference r:id="rId997"/>
    <externalReference r:id="rId998"/>
    <externalReference r:id="rId999"/>
    <externalReference r:id="rId1000"/>
    <externalReference r:id="rId1001"/>
    <externalReference r:id="rId1002"/>
    <externalReference r:id="rId1003"/>
    <externalReference r:id="rId1004"/>
    <externalReference r:id="rId1005"/>
    <externalReference r:id="rId1006"/>
    <externalReference r:id="rId1007"/>
    <externalReference r:id="rId1008"/>
    <externalReference r:id="rId1009"/>
    <externalReference r:id="rId1010"/>
    <externalReference r:id="rId1011"/>
    <externalReference r:id="rId1012"/>
    <externalReference r:id="rId1013"/>
    <externalReference r:id="rId1014"/>
    <externalReference r:id="rId1015"/>
    <externalReference r:id="rId1016"/>
    <externalReference r:id="rId1017"/>
    <externalReference r:id="rId1018"/>
    <externalReference r:id="rId1019"/>
    <externalReference r:id="rId1020"/>
    <externalReference r:id="rId1021"/>
    <externalReference r:id="rId1022"/>
    <externalReference r:id="rId1023"/>
    <externalReference r:id="rId1024"/>
    <externalReference r:id="rId1025"/>
    <externalReference r:id="rId1026"/>
    <externalReference r:id="rId1027"/>
    <externalReference r:id="rId1028"/>
    <externalReference r:id="rId1029"/>
    <externalReference r:id="rId1030"/>
    <externalReference r:id="rId1031"/>
    <externalReference r:id="rId1032"/>
    <externalReference r:id="rId1033"/>
    <externalReference r:id="rId1034"/>
    <externalReference r:id="rId1035"/>
    <externalReference r:id="rId1036"/>
    <externalReference r:id="rId1037"/>
    <externalReference r:id="rId1038"/>
    <externalReference r:id="rId1039"/>
    <externalReference r:id="rId1040"/>
    <externalReference r:id="rId1041"/>
    <externalReference r:id="rId1042"/>
    <externalReference r:id="rId1043"/>
    <externalReference r:id="rId1044"/>
    <externalReference r:id="rId1045"/>
    <externalReference r:id="rId1046"/>
    <externalReference r:id="rId1047"/>
    <externalReference r:id="rId1048"/>
    <externalReference r:id="rId1049"/>
    <externalReference r:id="rId1050"/>
    <externalReference r:id="rId1051"/>
    <externalReference r:id="rId1052"/>
    <externalReference r:id="rId1053"/>
    <externalReference r:id="rId1054"/>
    <externalReference r:id="rId1055"/>
    <externalReference r:id="rId1056"/>
    <externalReference r:id="rId1057"/>
    <externalReference r:id="rId1058"/>
    <externalReference r:id="rId1059"/>
    <externalReference r:id="rId1060"/>
    <externalReference r:id="rId1061"/>
    <externalReference r:id="rId1062"/>
    <externalReference r:id="rId1063"/>
    <externalReference r:id="rId1064"/>
    <externalReference r:id="rId1065"/>
    <externalReference r:id="rId1066"/>
    <externalReference r:id="rId1067"/>
    <externalReference r:id="rId1068"/>
    <externalReference r:id="rId1069"/>
    <externalReference r:id="rId1070"/>
    <externalReference r:id="rId1071"/>
    <externalReference r:id="rId1072"/>
    <externalReference r:id="rId1073"/>
    <externalReference r:id="rId1074"/>
    <externalReference r:id="rId1075"/>
    <externalReference r:id="rId1076"/>
    <externalReference r:id="rId1077"/>
    <externalReference r:id="rId1078"/>
    <externalReference r:id="rId1079"/>
    <externalReference r:id="rId1080"/>
    <externalReference r:id="rId1081"/>
    <externalReference r:id="rId1082"/>
    <externalReference r:id="rId1083"/>
    <externalReference r:id="rId1084"/>
    <externalReference r:id="rId1085"/>
    <externalReference r:id="rId1086"/>
    <externalReference r:id="rId1087"/>
    <externalReference r:id="rId1088"/>
    <externalReference r:id="rId1089"/>
    <externalReference r:id="rId1090"/>
    <externalReference r:id="rId1091"/>
    <externalReference r:id="rId1092"/>
    <externalReference r:id="rId1093"/>
    <externalReference r:id="rId1094"/>
    <externalReference r:id="rId1095"/>
    <externalReference r:id="rId1096"/>
    <externalReference r:id="rId1097"/>
    <externalReference r:id="rId1098"/>
    <externalReference r:id="rId1099"/>
    <externalReference r:id="rId1100"/>
    <externalReference r:id="rId1101"/>
    <externalReference r:id="rId1102"/>
    <externalReference r:id="rId1103"/>
    <externalReference r:id="rId1104"/>
    <externalReference r:id="rId1105"/>
    <externalReference r:id="rId1106"/>
    <externalReference r:id="rId1107"/>
    <externalReference r:id="rId1108"/>
    <externalReference r:id="rId1109"/>
    <externalReference r:id="rId1110"/>
    <externalReference r:id="rId1111"/>
    <externalReference r:id="rId1112"/>
    <externalReference r:id="rId1113"/>
    <externalReference r:id="rId1114"/>
    <externalReference r:id="rId1115"/>
    <externalReference r:id="rId1116"/>
    <externalReference r:id="rId1117"/>
    <externalReference r:id="rId1118"/>
    <externalReference r:id="rId1119"/>
    <externalReference r:id="rId1120"/>
    <externalReference r:id="rId1121"/>
    <externalReference r:id="rId1122"/>
    <externalReference r:id="rId1123"/>
    <externalReference r:id="rId1124"/>
    <externalReference r:id="rId1125"/>
    <externalReference r:id="rId1126"/>
    <externalReference r:id="rId1127"/>
    <externalReference r:id="rId1128"/>
    <externalReference r:id="rId1129"/>
    <externalReference r:id="rId1130"/>
    <externalReference r:id="rId1131"/>
    <externalReference r:id="rId1132"/>
    <externalReference r:id="rId1133"/>
    <externalReference r:id="rId1134"/>
    <externalReference r:id="rId1135"/>
    <externalReference r:id="rId1136"/>
    <externalReference r:id="rId1137"/>
    <externalReference r:id="rId1138"/>
    <externalReference r:id="rId1139"/>
    <externalReference r:id="rId1140"/>
    <externalReference r:id="rId1141"/>
    <externalReference r:id="rId1142"/>
    <externalReference r:id="rId1143"/>
    <externalReference r:id="rId1144"/>
    <externalReference r:id="rId1145"/>
    <externalReference r:id="rId1146"/>
    <externalReference r:id="rId1147"/>
    <externalReference r:id="rId1148"/>
    <externalReference r:id="rId1149"/>
    <externalReference r:id="rId1150"/>
    <externalReference r:id="rId1151"/>
    <externalReference r:id="rId1152"/>
    <externalReference r:id="rId1153"/>
    <externalReference r:id="rId1154"/>
    <externalReference r:id="rId1155"/>
    <externalReference r:id="rId1156"/>
    <externalReference r:id="rId1157"/>
    <externalReference r:id="rId1158"/>
    <externalReference r:id="rId1159"/>
    <externalReference r:id="rId1160"/>
    <externalReference r:id="rId1161"/>
    <externalReference r:id="rId1162"/>
    <externalReference r:id="rId1163"/>
    <externalReference r:id="rId1164"/>
    <externalReference r:id="rId1165"/>
    <externalReference r:id="rId1166"/>
    <externalReference r:id="rId1167"/>
    <externalReference r:id="rId1168"/>
    <externalReference r:id="rId1169"/>
    <externalReference r:id="rId1170"/>
    <externalReference r:id="rId1171"/>
    <externalReference r:id="rId1172"/>
    <externalReference r:id="rId1173"/>
    <externalReference r:id="rId1174"/>
    <externalReference r:id="rId1175"/>
    <externalReference r:id="rId1176"/>
    <externalReference r:id="rId1177"/>
    <externalReference r:id="rId1178"/>
    <externalReference r:id="rId1179"/>
    <externalReference r:id="rId1180"/>
    <externalReference r:id="rId1181"/>
    <externalReference r:id="rId1182"/>
    <externalReference r:id="rId1183"/>
    <externalReference r:id="rId1184"/>
    <externalReference r:id="rId1185"/>
    <externalReference r:id="rId1186"/>
    <externalReference r:id="rId1187"/>
    <externalReference r:id="rId1188"/>
    <externalReference r:id="rId1189"/>
    <externalReference r:id="rId1190"/>
    <externalReference r:id="rId1191"/>
    <externalReference r:id="rId1192"/>
    <externalReference r:id="rId1193"/>
    <externalReference r:id="rId1194"/>
    <externalReference r:id="rId1195"/>
    <externalReference r:id="rId119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X66" i="10" l="1"/>
  <c r="X65" i="10"/>
  <c r="X58" i="10"/>
  <c r="X57" i="10"/>
  <c r="X50" i="10"/>
  <c r="X49" i="10"/>
  <c r="X42" i="10"/>
  <c r="X41" i="10"/>
  <c r="X34" i="10"/>
  <c r="X33" i="10"/>
  <c r="X26" i="10"/>
  <c r="X25" i="10"/>
  <c r="X18" i="10"/>
  <c r="X17" i="10"/>
  <c r="X63" i="12"/>
  <c r="X62" i="12"/>
  <c r="X55" i="12"/>
  <c r="X54" i="12"/>
  <c r="X47" i="12"/>
  <c r="X46" i="12"/>
  <c r="X39" i="12"/>
  <c r="X38" i="12"/>
  <c r="X31" i="12"/>
  <c r="X30" i="12"/>
  <c r="X23" i="12"/>
  <c r="X22" i="12"/>
  <c r="X15" i="12"/>
  <c r="X14" i="12"/>
  <c r="X59" i="11"/>
  <c r="X51" i="11"/>
  <c r="X43" i="11"/>
  <c r="X35" i="11"/>
  <c r="X27" i="11"/>
  <c r="X19" i="11"/>
  <c r="X65" i="13"/>
  <c r="X64" i="13"/>
  <c r="X57" i="13"/>
  <c r="X56" i="13"/>
  <c r="X49" i="13"/>
  <c r="X48" i="13"/>
  <c r="X41" i="13"/>
  <c r="X40" i="13"/>
  <c r="X33" i="13"/>
  <c r="X32" i="13"/>
  <c r="X25" i="13"/>
  <c r="X24" i="13"/>
  <c r="X17" i="13"/>
  <c r="X16" i="13"/>
  <c r="X62" i="14"/>
  <c r="X61" i="14"/>
  <c r="X54" i="14"/>
  <c r="X53" i="14"/>
  <c r="X46" i="14"/>
  <c r="X45" i="14"/>
  <c r="X38" i="14"/>
  <c r="X37" i="14"/>
  <c r="X30" i="14"/>
  <c r="X29" i="14"/>
  <c r="X22" i="14"/>
  <c r="X21" i="14"/>
  <c r="X14" i="14"/>
  <c r="G62" i="34"/>
  <c r="X66" i="14" s="1"/>
  <c r="F62" i="34"/>
  <c r="X66" i="13" s="1"/>
  <c r="E62" i="34"/>
  <c r="X66" i="11" s="1"/>
  <c r="D62" i="34"/>
  <c r="X66" i="12" s="1"/>
  <c r="C62" i="34"/>
  <c r="G61" i="34"/>
  <c r="X65" i="14" s="1"/>
  <c r="F61" i="34"/>
  <c r="E61" i="34"/>
  <c r="X65" i="11" s="1"/>
  <c r="D61" i="34"/>
  <c r="X65" i="12" s="1"/>
  <c r="C61" i="34"/>
  <c r="G60" i="34"/>
  <c r="X64" i="14" s="1"/>
  <c r="F60" i="34"/>
  <c r="E60" i="34"/>
  <c r="X64" i="11" s="1"/>
  <c r="D60" i="34"/>
  <c r="X64" i="12" s="1"/>
  <c r="C60" i="34"/>
  <c r="X64" i="10" s="1"/>
  <c r="G59" i="34"/>
  <c r="X63" i="14" s="1"/>
  <c r="F59" i="34"/>
  <c r="X63" i="13" s="1"/>
  <c r="E59" i="34"/>
  <c r="X63" i="11" s="1"/>
  <c r="D59" i="34"/>
  <c r="C59" i="34"/>
  <c r="X63" i="10" s="1"/>
  <c r="G58" i="34"/>
  <c r="F58" i="34"/>
  <c r="X62" i="13" s="1"/>
  <c r="E58" i="34"/>
  <c r="X62" i="11" s="1"/>
  <c r="D58" i="34"/>
  <c r="C58" i="34"/>
  <c r="X62" i="10" s="1"/>
  <c r="G57" i="34"/>
  <c r="F57" i="34"/>
  <c r="X61" i="13" s="1"/>
  <c r="E57" i="34"/>
  <c r="X61" i="11" s="1"/>
  <c r="D57" i="34"/>
  <c r="X61" i="12" s="1"/>
  <c r="C57" i="34"/>
  <c r="X61" i="10" s="1"/>
  <c r="G56" i="34"/>
  <c r="X60" i="14" s="1"/>
  <c r="F56" i="34"/>
  <c r="X60" i="13" s="1"/>
  <c r="E56" i="34"/>
  <c r="X60" i="11" s="1"/>
  <c r="D56" i="34"/>
  <c r="X60" i="12" s="1"/>
  <c r="C56" i="34"/>
  <c r="X60" i="10" s="1"/>
  <c r="G55" i="34"/>
  <c r="X59" i="14" s="1"/>
  <c r="F55" i="34"/>
  <c r="X59" i="13" s="1"/>
  <c r="E55" i="34"/>
  <c r="D55" i="34"/>
  <c r="X59" i="12" s="1"/>
  <c r="C55" i="34"/>
  <c r="X59" i="10" s="1"/>
  <c r="G54" i="34"/>
  <c r="X58" i="14" s="1"/>
  <c r="F54" i="34"/>
  <c r="X58" i="13" s="1"/>
  <c r="E54" i="34"/>
  <c r="X58" i="11" s="1"/>
  <c r="D54" i="34"/>
  <c r="X58" i="12" s="1"/>
  <c r="C54" i="34"/>
  <c r="G53" i="34"/>
  <c r="X57" i="14" s="1"/>
  <c r="F53" i="34"/>
  <c r="E53" i="34"/>
  <c r="X57" i="11" s="1"/>
  <c r="D53" i="34"/>
  <c r="X57" i="12" s="1"/>
  <c r="C53" i="34"/>
  <c r="G52" i="34"/>
  <c r="X56" i="14" s="1"/>
  <c r="F52" i="34"/>
  <c r="E52" i="34"/>
  <c r="X56" i="11" s="1"/>
  <c r="D52" i="34"/>
  <c r="X56" i="12" s="1"/>
  <c r="C52" i="34"/>
  <c r="X56" i="10" s="1"/>
  <c r="G51" i="34"/>
  <c r="X55" i="14" s="1"/>
  <c r="F51" i="34"/>
  <c r="X55" i="13" s="1"/>
  <c r="E51" i="34"/>
  <c r="X55" i="11" s="1"/>
  <c r="D51" i="34"/>
  <c r="C51" i="34"/>
  <c r="X55" i="10" s="1"/>
  <c r="G50" i="34"/>
  <c r="F50" i="34"/>
  <c r="X54" i="13" s="1"/>
  <c r="E50" i="34"/>
  <c r="X54" i="11" s="1"/>
  <c r="D50" i="34"/>
  <c r="C50" i="34"/>
  <c r="X54" i="10" s="1"/>
  <c r="G49" i="34"/>
  <c r="F49" i="34"/>
  <c r="X53" i="13" s="1"/>
  <c r="E49" i="34"/>
  <c r="X53" i="11" s="1"/>
  <c r="D49" i="34"/>
  <c r="X53" i="12" s="1"/>
  <c r="C49" i="34"/>
  <c r="X53" i="10" s="1"/>
  <c r="G48" i="34"/>
  <c r="X52" i="14" s="1"/>
  <c r="F48" i="34"/>
  <c r="X52" i="13" s="1"/>
  <c r="E48" i="34"/>
  <c r="X52" i="11" s="1"/>
  <c r="D48" i="34"/>
  <c r="X52" i="12" s="1"/>
  <c r="C48" i="34"/>
  <c r="X52" i="10" s="1"/>
  <c r="G47" i="34"/>
  <c r="X51" i="14" s="1"/>
  <c r="F47" i="34"/>
  <c r="X51" i="13" s="1"/>
  <c r="E47" i="34"/>
  <c r="D47" i="34"/>
  <c r="X51" i="12" s="1"/>
  <c r="C47" i="34"/>
  <c r="X51" i="10" s="1"/>
  <c r="G46" i="34"/>
  <c r="X50" i="14" s="1"/>
  <c r="F46" i="34"/>
  <c r="X50" i="13" s="1"/>
  <c r="E46" i="34"/>
  <c r="X50" i="11" s="1"/>
  <c r="D46" i="34"/>
  <c r="X50" i="12" s="1"/>
  <c r="C46" i="34"/>
  <c r="G45" i="34"/>
  <c r="X49" i="14" s="1"/>
  <c r="F45" i="34"/>
  <c r="E45" i="34"/>
  <c r="X49" i="11" s="1"/>
  <c r="D45" i="34"/>
  <c r="X49" i="12" s="1"/>
  <c r="C45" i="34"/>
  <c r="G44" i="34"/>
  <c r="X48" i="14" s="1"/>
  <c r="F44" i="34"/>
  <c r="E44" i="34"/>
  <c r="X48" i="11" s="1"/>
  <c r="D44" i="34"/>
  <c r="X48" i="12" s="1"/>
  <c r="C44" i="34"/>
  <c r="X48" i="10" s="1"/>
  <c r="G43" i="34"/>
  <c r="X47" i="14" s="1"/>
  <c r="F43" i="34"/>
  <c r="X47" i="13" s="1"/>
  <c r="E43" i="34"/>
  <c r="X47" i="11" s="1"/>
  <c r="D43" i="34"/>
  <c r="C43" i="34"/>
  <c r="X47" i="10" s="1"/>
  <c r="G42" i="34"/>
  <c r="F42" i="34"/>
  <c r="X46" i="13" s="1"/>
  <c r="E42" i="34"/>
  <c r="X46" i="11" s="1"/>
  <c r="D42" i="34"/>
  <c r="C42" i="34"/>
  <c r="X46" i="10" s="1"/>
  <c r="G41" i="34"/>
  <c r="F41" i="34"/>
  <c r="X45" i="13" s="1"/>
  <c r="E41" i="34"/>
  <c r="X45" i="11" s="1"/>
  <c r="D41" i="34"/>
  <c r="X45" i="12" s="1"/>
  <c r="C41" i="34"/>
  <c r="X45" i="10" s="1"/>
  <c r="G40" i="34"/>
  <c r="X44" i="14" s="1"/>
  <c r="F40" i="34"/>
  <c r="X44" i="13" s="1"/>
  <c r="E40" i="34"/>
  <c r="X44" i="11" s="1"/>
  <c r="D40" i="34"/>
  <c r="X44" i="12" s="1"/>
  <c r="C40" i="34"/>
  <c r="X44" i="10" s="1"/>
  <c r="G39" i="34"/>
  <c r="X43" i="14" s="1"/>
  <c r="F39" i="34"/>
  <c r="X43" i="13" s="1"/>
  <c r="E39" i="34"/>
  <c r="D39" i="34"/>
  <c r="X43" i="12" s="1"/>
  <c r="C39" i="34"/>
  <c r="X43" i="10" s="1"/>
  <c r="G38" i="34"/>
  <c r="X42" i="14" s="1"/>
  <c r="F38" i="34"/>
  <c r="X42" i="13" s="1"/>
  <c r="E38" i="34"/>
  <c r="X42" i="11" s="1"/>
  <c r="D38" i="34"/>
  <c r="X42" i="12" s="1"/>
  <c r="C38" i="34"/>
  <c r="G37" i="34"/>
  <c r="X41" i="14" s="1"/>
  <c r="F37" i="34"/>
  <c r="E37" i="34"/>
  <c r="X41" i="11" s="1"/>
  <c r="D37" i="34"/>
  <c r="X41" i="12" s="1"/>
  <c r="C37" i="34"/>
  <c r="G36" i="34"/>
  <c r="X40" i="14" s="1"/>
  <c r="F36" i="34"/>
  <c r="E36" i="34"/>
  <c r="X40" i="11" s="1"/>
  <c r="D36" i="34"/>
  <c r="X40" i="12" s="1"/>
  <c r="C36" i="34"/>
  <c r="X40" i="10" s="1"/>
  <c r="G35" i="34"/>
  <c r="X39" i="14" s="1"/>
  <c r="F35" i="34"/>
  <c r="X39" i="13" s="1"/>
  <c r="E35" i="34"/>
  <c r="X39" i="11" s="1"/>
  <c r="D35" i="34"/>
  <c r="C35" i="34"/>
  <c r="X39" i="10" s="1"/>
  <c r="G34" i="34"/>
  <c r="F34" i="34"/>
  <c r="X38" i="13" s="1"/>
  <c r="E34" i="34"/>
  <c r="X38" i="11" s="1"/>
  <c r="D34" i="34"/>
  <c r="C34" i="34"/>
  <c r="X38" i="10" s="1"/>
  <c r="G33" i="34"/>
  <c r="F33" i="34"/>
  <c r="X37" i="13" s="1"/>
  <c r="E33" i="34"/>
  <c r="X37" i="11" s="1"/>
  <c r="D33" i="34"/>
  <c r="X37" i="12" s="1"/>
  <c r="C33" i="34"/>
  <c r="X37" i="10" s="1"/>
  <c r="G32" i="34"/>
  <c r="X36" i="14" s="1"/>
  <c r="F32" i="34"/>
  <c r="X36" i="13" s="1"/>
  <c r="E32" i="34"/>
  <c r="X36" i="11" s="1"/>
  <c r="D32" i="34"/>
  <c r="X36" i="12" s="1"/>
  <c r="C32" i="34"/>
  <c r="X36" i="10" s="1"/>
  <c r="G31" i="34"/>
  <c r="X35" i="14" s="1"/>
  <c r="F31" i="34"/>
  <c r="X35" i="13" s="1"/>
  <c r="E31" i="34"/>
  <c r="D31" i="34"/>
  <c r="X35" i="12" s="1"/>
  <c r="C31" i="34"/>
  <c r="X35" i="10" s="1"/>
  <c r="G30" i="34"/>
  <c r="X34" i="14" s="1"/>
  <c r="F30" i="34"/>
  <c r="X34" i="13" s="1"/>
  <c r="E30" i="34"/>
  <c r="X34" i="11" s="1"/>
  <c r="D30" i="34"/>
  <c r="X34" i="12" s="1"/>
  <c r="C30" i="34"/>
  <c r="G29" i="34"/>
  <c r="X33" i="14" s="1"/>
  <c r="F29" i="34"/>
  <c r="E29" i="34"/>
  <c r="X33" i="11" s="1"/>
  <c r="D29" i="34"/>
  <c r="X33" i="12" s="1"/>
  <c r="C29" i="34"/>
  <c r="G28" i="34"/>
  <c r="X32" i="14" s="1"/>
  <c r="F28" i="34"/>
  <c r="E28" i="34"/>
  <c r="X32" i="11" s="1"/>
  <c r="D28" i="34"/>
  <c r="X32" i="12" s="1"/>
  <c r="C28" i="34"/>
  <c r="X32" i="10" s="1"/>
  <c r="G27" i="34"/>
  <c r="X31" i="14" s="1"/>
  <c r="F27" i="34"/>
  <c r="X31" i="13" s="1"/>
  <c r="E27" i="34"/>
  <c r="X31" i="11" s="1"/>
  <c r="D27" i="34"/>
  <c r="C27" i="34"/>
  <c r="X31" i="10" s="1"/>
  <c r="G26" i="34"/>
  <c r="F26" i="34"/>
  <c r="X30" i="13" s="1"/>
  <c r="E26" i="34"/>
  <c r="X30" i="11" s="1"/>
  <c r="D26" i="34"/>
  <c r="C26" i="34"/>
  <c r="X30" i="10" s="1"/>
  <c r="G25" i="34"/>
  <c r="F25" i="34"/>
  <c r="X29" i="13" s="1"/>
  <c r="E25" i="34"/>
  <c r="X29" i="11" s="1"/>
  <c r="D25" i="34"/>
  <c r="X29" i="12" s="1"/>
  <c r="C25" i="34"/>
  <c r="X29" i="10" s="1"/>
  <c r="G24" i="34"/>
  <c r="X28" i="14" s="1"/>
  <c r="F24" i="34"/>
  <c r="X28" i="13" s="1"/>
  <c r="E24" i="34"/>
  <c r="X28" i="11" s="1"/>
  <c r="D24" i="34"/>
  <c r="X28" i="12" s="1"/>
  <c r="C24" i="34"/>
  <c r="X28" i="10" s="1"/>
  <c r="G23" i="34"/>
  <c r="X27" i="14" s="1"/>
  <c r="F23" i="34"/>
  <c r="X27" i="13" s="1"/>
  <c r="E23" i="34"/>
  <c r="D23" i="34"/>
  <c r="X27" i="12" s="1"/>
  <c r="C23" i="34"/>
  <c r="X27" i="10" s="1"/>
  <c r="G22" i="34"/>
  <c r="X26" i="14" s="1"/>
  <c r="F22" i="34"/>
  <c r="X26" i="13" s="1"/>
  <c r="E22" i="34"/>
  <c r="X26" i="11" s="1"/>
  <c r="D22" i="34"/>
  <c r="X26" i="12" s="1"/>
  <c r="C22" i="34"/>
  <c r="G21" i="34"/>
  <c r="X25" i="14" s="1"/>
  <c r="F21" i="34"/>
  <c r="E21" i="34"/>
  <c r="X25" i="11" s="1"/>
  <c r="D21" i="34"/>
  <c r="X25" i="12" s="1"/>
  <c r="C21" i="34"/>
  <c r="G20" i="34"/>
  <c r="X24" i="14" s="1"/>
  <c r="F20" i="34"/>
  <c r="E20" i="34"/>
  <c r="X24" i="11" s="1"/>
  <c r="D20" i="34"/>
  <c r="X24" i="12" s="1"/>
  <c r="C20" i="34"/>
  <c r="X24" i="10" s="1"/>
  <c r="G19" i="34"/>
  <c r="X23" i="14" s="1"/>
  <c r="F19" i="34"/>
  <c r="X23" i="13" s="1"/>
  <c r="E19" i="34"/>
  <c r="X23" i="11" s="1"/>
  <c r="D19" i="34"/>
  <c r="C19" i="34"/>
  <c r="X23" i="10" s="1"/>
  <c r="G18" i="34"/>
  <c r="F18" i="34"/>
  <c r="X22" i="13" s="1"/>
  <c r="E18" i="34"/>
  <c r="X22" i="11" s="1"/>
  <c r="D18" i="34"/>
  <c r="C18" i="34"/>
  <c r="X22" i="10" s="1"/>
  <c r="G17" i="34"/>
  <c r="F17" i="34"/>
  <c r="X21" i="13" s="1"/>
  <c r="E17" i="34"/>
  <c r="X21" i="11" s="1"/>
  <c r="D17" i="34"/>
  <c r="X21" i="12" s="1"/>
  <c r="C17" i="34"/>
  <c r="X21" i="10" s="1"/>
  <c r="G16" i="34"/>
  <c r="X20" i="14" s="1"/>
  <c r="F16" i="34"/>
  <c r="X20" i="13" s="1"/>
  <c r="E16" i="34"/>
  <c r="X20" i="11" s="1"/>
  <c r="D16" i="34"/>
  <c r="X20" i="12" s="1"/>
  <c r="C16" i="34"/>
  <c r="X20" i="10" s="1"/>
  <c r="G15" i="34"/>
  <c r="X19" i="14" s="1"/>
  <c r="F15" i="34"/>
  <c r="X19" i="13" s="1"/>
  <c r="E15" i="34"/>
  <c r="D15" i="34"/>
  <c r="X19" i="12" s="1"/>
  <c r="C15" i="34"/>
  <c r="X19" i="10" s="1"/>
  <c r="G14" i="34"/>
  <c r="X18" i="14" s="1"/>
  <c r="F14" i="34"/>
  <c r="X18" i="13" s="1"/>
  <c r="E14" i="34"/>
  <c r="X18" i="11" s="1"/>
  <c r="D14" i="34"/>
  <c r="X18" i="12" s="1"/>
  <c r="C14" i="34"/>
  <c r="G13" i="34"/>
  <c r="X17" i="14" s="1"/>
  <c r="F13" i="34"/>
  <c r="E13" i="34"/>
  <c r="X17" i="11" s="1"/>
  <c r="D13" i="34"/>
  <c r="X17" i="12" s="1"/>
  <c r="C13" i="34"/>
  <c r="G12" i="34"/>
  <c r="X16" i="14" s="1"/>
  <c r="F12" i="34"/>
  <c r="E12" i="34"/>
  <c r="X16" i="11" s="1"/>
  <c r="D12" i="34"/>
  <c r="X16" i="12" s="1"/>
  <c r="C12" i="34"/>
  <c r="X16" i="10" s="1"/>
  <c r="G11" i="34"/>
  <c r="X15" i="14" s="1"/>
  <c r="F11" i="34"/>
  <c r="X15" i="13" s="1"/>
  <c r="E11" i="34"/>
  <c r="X15" i="11" s="1"/>
  <c r="D11" i="34"/>
  <c r="C11" i="34"/>
  <c r="X15" i="10" s="1"/>
  <c r="G10" i="34"/>
  <c r="F10" i="34"/>
  <c r="X14" i="13" s="1"/>
  <c r="E10" i="34"/>
  <c r="X14" i="11" s="1"/>
  <c r="D10" i="34"/>
  <c r="C10" i="34"/>
  <c r="X14" i="10" s="1"/>
  <c r="G62" i="33"/>
  <c r="W66" i="14" s="1"/>
  <c r="F62" i="33"/>
  <c r="E62" i="33"/>
  <c r="D62" i="33"/>
  <c r="C62" i="33"/>
  <c r="G61" i="33"/>
  <c r="F61" i="33"/>
  <c r="W65" i="13" s="1"/>
  <c r="E61" i="33"/>
  <c r="W65" i="11" s="1"/>
  <c r="D61" i="33"/>
  <c r="W65" i="12" s="1"/>
  <c r="C61" i="33"/>
  <c r="G60" i="33"/>
  <c r="F60" i="33"/>
  <c r="E60" i="33"/>
  <c r="D60" i="33"/>
  <c r="C60" i="33"/>
  <c r="W64" i="10" s="1"/>
  <c r="G59" i="33"/>
  <c r="W63" i="14" s="1"/>
  <c r="F59" i="33"/>
  <c r="W63" i="13" s="1"/>
  <c r="E59" i="33"/>
  <c r="D59" i="33"/>
  <c r="C59" i="33"/>
  <c r="G58" i="33"/>
  <c r="W62" i="14" s="1"/>
  <c r="F58" i="33"/>
  <c r="E58" i="33"/>
  <c r="W62" i="11" s="1"/>
  <c r="D58" i="33"/>
  <c r="W62" i="12" s="1"/>
  <c r="C58" i="33"/>
  <c r="W62" i="10" s="1"/>
  <c r="G57" i="33"/>
  <c r="F57" i="33"/>
  <c r="E57" i="33"/>
  <c r="D57" i="33"/>
  <c r="W61" i="12" s="1"/>
  <c r="C57" i="33"/>
  <c r="G56" i="33"/>
  <c r="W60" i="14" s="1"/>
  <c r="F56" i="33"/>
  <c r="W60" i="13" s="1"/>
  <c r="E56" i="33"/>
  <c r="W60" i="11" s="1"/>
  <c r="D56" i="33"/>
  <c r="C56" i="33"/>
  <c r="G55" i="33"/>
  <c r="F55" i="33"/>
  <c r="E55" i="33"/>
  <c r="D55" i="33"/>
  <c r="W59" i="12" s="1"/>
  <c r="C55" i="33"/>
  <c r="W59" i="10" s="1"/>
  <c r="G54" i="33"/>
  <c r="W58" i="14" s="1"/>
  <c r="F54" i="33"/>
  <c r="E54" i="33"/>
  <c r="D54" i="33"/>
  <c r="C54" i="33"/>
  <c r="G53" i="33"/>
  <c r="F53" i="33"/>
  <c r="W57" i="13" s="1"/>
  <c r="E53" i="33"/>
  <c r="W57" i="11" s="1"/>
  <c r="D53" i="33"/>
  <c r="W57" i="12" s="1"/>
  <c r="C53" i="33"/>
  <c r="G52" i="33"/>
  <c r="F52" i="33"/>
  <c r="E52" i="33"/>
  <c r="D52" i="33"/>
  <c r="C52" i="33"/>
  <c r="W56" i="10" s="1"/>
  <c r="G51" i="33"/>
  <c r="W55" i="14" s="1"/>
  <c r="F51" i="33"/>
  <c r="W55" i="13" s="1"/>
  <c r="E51" i="33"/>
  <c r="D51" i="33"/>
  <c r="C51" i="33"/>
  <c r="G50" i="33"/>
  <c r="F50" i="33"/>
  <c r="E50" i="33"/>
  <c r="W54" i="11" s="1"/>
  <c r="D50" i="33"/>
  <c r="W54" i="12" s="1"/>
  <c r="C50" i="33"/>
  <c r="W54" i="10" s="1"/>
  <c r="G49" i="33"/>
  <c r="F49" i="33"/>
  <c r="E49" i="33"/>
  <c r="D49" i="33"/>
  <c r="C49" i="33"/>
  <c r="G48" i="33"/>
  <c r="W52" i="14" s="1"/>
  <c r="F48" i="33"/>
  <c r="W52" i="13" s="1"/>
  <c r="E48" i="33"/>
  <c r="W52" i="11" s="1"/>
  <c r="D48" i="33"/>
  <c r="C48" i="33"/>
  <c r="G47" i="33"/>
  <c r="W51" i="14" s="1"/>
  <c r="F47" i="33"/>
  <c r="E47" i="33"/>
  <c r="D47" i="33"/>
  <c r="W51" i="12" s="1"/>
  <c r="C47" i="33"/>
  <c r="W51" i="10" s="1"/>
  <c r="G46" i="33"/>
  <c r="W50" i="14" s="1"/>
  <c r="F46" i="33"/>
  <c r="E46" i="33"/>
  <c r="D46" i="33"/>
  <c r="C46" i="33"/>
  <c r="G45" i="33"/>
  <c r="F45" i="33"/>
  <c r="W49" i="13" s="1"/>
  <c r="E45" i="33"/>
  <c r="W49" i="11" s="1"/>
  <c r="D45" i="33"/>
  <c r="W49" i="12" s="1"/>
  <c r="C45" i="33"/>
  <c r="G44" i="33"/>
  <c r="F44" i="33"/>
  <c r="E44" i="33"/>
  <c r="D44" i="33"/>
  <c r="C44" i="33"/>
  <c r="W48" i="10" s="1"/>
  <c r="G43" i="33"/>
  <c r="W47" i="14" s="1"/>
  <c r="F43" i="33"/>
  <c r="W47" i="13" s="1"/>
  <c r="E43" i="33"/>
  <c r="D43" i="33"/>
  <c r="C43" i="33"/>
  <c r="G42" i="33"/>
  <c r="F42" i="33"/>
  <c r="E42" i="33"/>
  <c r="W46" i="11" s="1"/>
  <c r="D42" i="33"/>
  <c r="W46" i="12" s="1"/>
  <c r="C42" i="33"/>
  <c r="W46" i="10" s="1"/>
  <c r="G41" i="33"/>
  <c r="F41" i="33"/>
  <c r="E41" i="33"/>
  <c r="D41" i="33"/>
  <c r="C41" i="33"/>
  <c r="G40" i="33"/>
  <c r="W44" i="14" s="1"/>
  <c r="F40" i="33"/>
  <c r="W44" i="13" s="1"/>
  <c r="E40" i="33"/>
  <c r="W44" i="11" s="1"/>
  <c r="D40" i="33"/>
  <c r="C40" i="33"/>
  <c r="G39" i="33"/>
  <c r="W43" i="14" s="1"/>
  <c r="F39" i="33"/>
  <c r="E39" i="33"/>
  <c r="D39" i="33"/>
  <c r="W43" i="12" s="1"/>
  <c r="C39" i="33"/>
  <c r="W43" i="10" s="1"/>
  <c r="G38" i="33"/>
  <c r="W42" i="14" s="1"/>
  <c r="F38" i="33"/>
  <c r="E38" i="33"/>
  <c r="D38" i="33"/>
  <c r="C38" i="33"/>
  <c r="G37" i="33"/>
  <c r="F37" i="33"/>
  <c r="W41" i="13" s="1"/>
  <c r="E37" i="33"/>
  <c r="W41" i="11" s="1"/>
  <c r="D37" i="33"/>
  <c r="W41" i="12" s="1"/>
  <c r="C37" i="33"/>
  <c r="G36" i="33"/>
  <c r="F36" i="33"/>
  <c r="W40" i="13" s="1"/>
  <c r="E36" i="33"/>
  <c r="D36" i="33"/>
  <c r="C36" i="33"/>
  <c r="W40" i="10" s="1"/>
  <c r="G35" i="33"/>
  <c r="W39" i="14" s="1"/>
  <c r="F35" i="33"/>
  <c r="W39" i="13" s="1"/>
  <c r="E35" i="33"/>
  <c r="D35" i="33"/>
  <c r="C35" i="33"/>
  <c r="G34" i="33"/>
  <c r="F34" i="33"/>
  <c r="E34" i="33"/>
  <c r="W38" i="11" s="1"/>
  <c r="D34" i="33"/>
  <c r="W38" i="12" s="1"/>
  <c r="C34" i="33"/>
  <c r="W38" i="10" s="1"/>
  <c r="G33" i="33"/>
  <c r="F33" i="33"/>
  <c r="E33" i="33"/>
  <c r="D33" i="33"/>
  <c r="C33" i="33"/>
  <c r="G32" i="33"/>
  <c r="W36" i="14" s="1"/>
  <c r="F32" i="33"/>
  <c r="W36" i="13" s="1"/>
  <c r="E32" i="33"/>
  <c r="W36" i="11" s="1"/>
  <c r="D32" i="33"/>
  <c r="C32" i="33"/>
  <c r="G31" i="33"/>
  <c r="F31" i="33"/>
  <c r="E31" i="33"/>
  <c r="D31" i="33"/>
  <c r="W35" i="12" s="1"/>
  <c r="C31" i="33"/>
  <c r="W35" i="10" s="1"/>
  <c r="G30" i="33"/>
  <c r="W34" i="14" s="1"/>
  <c r="F30" i="33"/>
  <c r="E30" i="33"/>
  <c r="D30" i="33"/>
  <c r="C30" i="33"/>
  <c r="G29" i="33"/>
  <c r="F29" i="33"/>
  <c r="W33" i="13" s="1"/>
  <c r="E29" i="33"/>
  <c r="W33" i="11" s="1"/>
  <c r="D29" i="33"/>
  <c r="W33" i="12" s="1"/>
  <c r="C29" i="33"/>
  <c r="G28" i="33"/>
  <c r="F28" i="33"/>
  <c r="W32" i="13" s="1"/>
  <c r="E28" i="33"/>
  <c r="D28" i="33"/>
  <c r="C28" i="33"/>
  <c r="W32" i="10" s="1"/>
  <c r="G27" i="33"/>
  <c r="W31" i="14" s="1"/>
  <c r="F27" i="33"/>
  <c r="W31" i="13" s="1"/>
  <c r="E27" i="33"/>
  <c r="D27" i="33"/>
  <c r="C27" i="33"/>
  <c r="G26" i="33"/>
  <c r="F26" i="33"/>
  <c r="E26" i="33"/>
  <c r="W30" i="11" s="1"/>
  <c r="D26" i="33"/>
  <c r="W30" i="12" s="1"/>
  <c r="C26" i="33"/>
  <c r="W30" i="10" s="1"/>
  <c r="G25" i="33"/>
  <c r="F25" i="33"/>
  <c r="E25" i="33"/>
  <c r="W29" i="11" s="1"/>
  <c r="D25" i="33"/>
  <c r="C25" i="33"/>
  <c r="G24" i="33"/>
  <c r="W28" i="14" s="1"/>
  <c r="F24" i="33"/>
  <c r="W28" i="13" s="1"/>
  <c r="E24" i="33"/>
  <c r="W28" i="11" s="1"/>
  <c r="D24" i="33"/>
  <c r="C24" i="33"/>
  <c r="G23" i="33"/>
  <c r="F23" i="33"/>
  <c r="E23" i="33"/>
  <c r="D23" i="33"/>
  <c r="W27" i="12" s="1"/>
  <c r="C23" i="33"/>
  <c r="W27" i="10" s="1"/>
  <c r="G22" i="33"/>
  <c r="W26" i="14" s="1"/>
  <c r="F22" i="33"/>
  <c r="E22" i="33"/>
  <c r="D22" i="33"/>
  <c r="C22" i="33"/>
  <c r="G21" i="33"/>
  <c r="F21" i="33"/>
  <c r="W25" i="13" s="1"/>
  <c r="E21" i="33"/>
  <c r="W25" i="11" s="1"/>
  <c r="D21" i="33"/>
  <c r="W25" i="12" s="1"/>
  <c r="C21" i="33"/>
  <c r="G20" i="33"/>
  <c r="F20" i="33"/>
  <c r="E20" i="33"/>
  <c r="D20" i="33"/>
  <c r="C20" i="33"/>
  <c r="W24" i="10" s="1"/>
  <c r="G19" i="33"/>
  <c r="W23" i="14" s="1"/>
  <c r="F19" i="33"/>
  <c r="W23" i="13" s="1"/>
  <c r="E19" i="33"/>
  <c r="D19" i="33"/>
  <c r="C19" i="33"/>
  <c r="G18" i="33"/>
  <c r="F18" i="33"/>
  <c r="E18" i="33"/>
  <c r="W22" i="11" s="1"/>
  <c r="D18" i="33"/>
  <c r="W22" i="12" s="1"/>
  <c r="C18" i="33"/>
  <c r="W22" i="10" s="1"/>
  <c r="G17" i="33"/>
  <c r="F17" i="33"/>
  <c r="E17" i="33"/>
  <c r="W21" i="11" s="1"/>
  <c r="D17" i="33"/>
  <c r="C17" i="33"/>
  <c r="G16" i="33"/>
  <c r="W20" i="14" s="1"/>
  <c r="F16" i="33"/>
  <c r="W20" i="13" s="1"/>
  <c r="E16" i="33"/>
  <c r="W20" i="11" s="1"/>
  <c r="D16" i="33"/>
  <c r="C16" i="33"/>
  <c r="G15" i="33"/>
  <c r="F15" i="33"/>
  <c r="E15" i="33"/>
  <c r="D15" i="33"/>
  <c r="W19" i="12" s="1"/>
  <c r="C15" i="33"/>
  <c r="W19" i="10" s="1"/>
  <c r="G14" i="33"/>
  <c r="W18" i="14" s="1"/>
  <c r="F14" i="33"/>
  <c r="E14" i="33"/>
  <c r="D14" i="33"/>
  <c r="W18" i="12" s="1"/>
  <c r="C14" i="33"/>
  <c r="G13" i="33"/>
  <c r="F13" i="33"/>
  <c r="W17" i="13" s="1"/>
  <c r="E13" i="33"/>
  <c r="W17" i="11" s="1"/>
  <c r="D13" i="33"/>
  <c r="W17" i="12" s="1"/>
  <c r="C13" i="33"/>
  <c r="G12" i="33"/>
  <c r="F12" i="33"/>
  <c r="E12" i="33"/>
  <c r="D12" i="33"/>
  <c r="C12" i="33"/>
  <c r="W16" i="10" s="1"/>
  <c r="G11" i="33"/>
  <c r="W15" i="14" s="1"/>
  <c r="F11" i="33"/>
  <c r="W15" i="13" s="1"/>
  <c r="E11" i="33"/>
  <c r="D11" i="33"/>
  <c r="C11" i="33"/>
  <c r="G10" i="33"/>
  <c r="F10" i="33"/>
  <c r="E10" i="33"/>
  <c r="W14" i="11" s="1"/>
  <c r="D10" i="33"/>
  <c r="W14" i="12" s="1"/>
  <c r="C10" i="33"/>
  <c r="W14" i="10" s="1"/>
  <c r="G62" i="32"/>
  <c r="F62" i="32"/>
  <c r="E62" i="32"/>
  <c r="D62" i="32"/>
  <c r="C62" i="32"/>
  <c r="G61" i="32"/>
  <c r="V65" i="14" s="1"/>
  <c r="F61" i="32"/>
  <c r="E61" i="32"/>
  <c r="V65" i="11" s="1"/>
  <c r="D61" i="32"/>
  <c r="C61" i="32"/>
  <c r="G60" i="32"/>
  <c r="F60" i="32"/>
  <c r="E60" i="32"/>
  <c r="D60" i="32"/>
  <c r="V64" i="12" s="1"/>
  <c r="C60" i="32"/>
  <c r="V64" i="10" s="1"/>
  <c r="G59" i="32"/>
  <c r="V63" i="14" s="1"/>
  <c r="F59" i="32"/>
  <c r="E59" i="32"/>
  <c r="D59" i="32"/>
  <c r="C59" i="32"/>
  <c r="G58" i="32"/>
  <c r="F58" i="32"/>
  <c r="V62" i="13" s="1"/>
  <c r="E58" i="32"/>
  <c r="V62" i="11" s="1"/>
  <c r="D58" i="32"/>
  <c r="V62" i="12" s="1"/>
  <c r="C58" i="32"/>
  <c r="G57" i="32"/>
  <c r="F57" i="32"/>
  <c r="E57" i="32"/>
  <c r="D57" i="32"/>
  <c r="C57" i="32"/>
  <c r="V61" i="10" s="1"/>
  <c r="G56" i="32"/>
  <c r="V60" i="14" s="1"/>
  <c r="F56" i="32"/>
  <c r="V60" i="13" s="1"/>
  <c r="E56" i="32"/>
  <c r="D56" i="32"/>
  <c r="C56" i="32"/>
  <c r="G55" i="32"/>
  <c r="F55" i="32"/>
  <c r="E55" i="32"/>
  <c r="V59" i="11" s="1"/>
  <c r="D55" i="32"/>
  <c r="V59" i="12" s="1"/>
  <c r="C55" i="32"/>
  <c r="V59" i="10" s="1"/>
  <c r="G54" i="32"/>
  <c r="F54" i="32"/>
  <c r="E54" i="32"/>
  <c r="D54" i="32"/>
  <c r="C54" i="32"/>
  <c r="G53" i="32"/>
  <c r="V57" i="14" s="1"/>
  <c r="F53" i="32"/>
  <c r="V57" i="13" s="1"/>
  <c r="E53" i="32"/>
  <c r="V57" i="11" s="1"/>
  <c r="D53" i="32"/>
  <c r="C53" i="32"/>
  <c r="G52" i="32"/>
  <c r="F52" i="32"/>
  <c r="E52" i="32"/>
  <c r="D52" i="32"/>
  <c r="V56" i="12" s="1"/>
  <c r="C52" i="32"/>
  <c r="V56" i="10" s="1"/>
  <c r="G51" i="32"/>
  <c r="V55" i="14" s="1"/>
  <c r="F51" i="32"/>
  <c r="E51" i="32"/>
  <c r="D51" i="32"/>
  <c r="C51" i="32"/>
  <c r="G50" i="32"/>
  <c r="F50" i="32"/>
  <c r="V54" i="13" s="1"/>
  <c r="E50" i="32"/>
  <c r="V54" i="11" s="1"/>
  <c r="D50" i="32"/>
  <c r="V54" i="12" s="1"/>
  <c r="C50" i="32"/>
  <c r="G49" i="32"/>
  <c r="F49" i="32"/>
  <c r="E49" i="32"/>
  <c r="D49" i="32"/>
  <c r="C49" i="32"/>
  <c r="V53" i="10" s="1"/>
  <c r="G48" i="32"/>
  <c r="V52" i="14" s="1"/>
  <c r="F48" i="32"/>
  <c r="V52" i="13" s="1"/>
  <c r="E48" i="32"/>
  <c r="D48" i="32"/>
  <c r="C48" i="32"/>
  <c r="G47" i="32"/>
  <c r="F47" i="32"/>
  <c r="E47" i="32"/>
  <c r="V51" i="11" s="1"/>
  <c r="D47" i="32"/>
  <c r="V51" i="12" s="1"/>
  <c r="C47" i="32"/>
  <c r="V51" i="10" s="1"/>
  <c r="G46" i="32"/>
  <c r="F46" i="32"/>
  <c r="E46" i="32"/>
  <c r="D46" i="32"/>
  <c r="C46" i="32"/>
  <c r="G45" i="32"/>
  <c r="V49" i="14" s="1"/>
  <c r="F45" i="32"/>
  <c r="V49" i="13" s="1"/>
  <c r="E45" i="32"/>
  <c r="V49" i="11" s="1"/>
  <c r="D45" i="32"/>
  <c r="C45" i="32"/>
  <c r="G44" i="32"/>
  <c r="F44" i="32"/>
  <c r="E44" i="32"/>
  <c r="D44" i="32"/>
  <c r="V48" i="12" s="1"/>
  <c r="C44" i="32"/>
  <c r="V48" i="10" s="1"/>
  <c r="G43" i="32"/>
  <c r="V47" i="14" s="1"/>
  <c r="F43" i="32"/>
  <c r="E43" i="32"/>
  <c r="D43" i="32"/>
  <c r="C43" i="32"/>
  <c r="G42" i="32"/>
  <c r="F42" i="32"/>
  <c r="V46" i="13" s="1"/>
  <c r="E42" i="32"/>
  <c r="V46" i="11" s="1"/>
  <c r="D42" i="32"/>
  <c r="C42" i="32"/>
  <c r="G41" i="32"/>
  <c r="F41" i="32"/>
  <c r="E41" i="32"/>
  <c r="D41" i="32"/>
  <c r="C41" i="32"/>
  <c r="V45" i="10" s="1"/>
  <c r="G40" i="32"/>
  <c r="V44" i="14" s="1"/>
  <c r="F40" i="32"/>
  <c r="V44" i="13" s="1"/>
  <c r="E40" i="32"/>
  <c r="D40" i="32"/>
  <c r="C40" i="32"/>
  <c r="G39" i="32"/>
  <c r="F39" i="32"/>
  <c r="E39" i="32"/>
  <c r="V43" i="11" s="1"/>
  <c r="D39" i="32"/>
  <c r="V43" i="12" s="1"/>
  <c r="C39" i="32"/>
  <c r="V43" i="10" s="1"/>
  <c r="G38" i="32"/>
  <c r="F38" i="32"/>
  <c r="E38" i="32"/>
  <c r="D38" i="32"/>
  <c r="C38" i="32"/>
  <c r="G37" i="32"/>
  <c r="V41" i="14" s="1"/>
  <c r="F37" i="32"/>
  <c r="V41" i="13" s="1"/>
  <c r="E37" i="32"/>
  <c r="V41" i="11" s="1"/>
  <c r="D37" i="32"/>
  <c r="C37" i="32"/>
  <c r="G36" i="32"/>
  <c r="F36" i="32"/>
  <c r="E36" i="32"/>
  <c r="D36" i="32"/>
  <c r="V40" i="12" s="1"/>
  <c r="C36" i="32"/>
  <c r="V40" i="10" s="1"/>
  <c r="G35" i="32"/>
  <c r="V39" i="14" s="1"/>
  <c r="F35" i="32"/>
  <c r="E35" i="32"/>
  <c r="D35" i="32"/>
  <c r="C35" i="32"/>
  <c r="G34" i="32"/>
  <c r="F34" i="32"/>
  <c r="V38" i="13" s="1"/>
  <c r="E34" i="32"/>
  <c r="V38" i="11" s="1"/>
  <c r="D34" i="32"/>
  <c r="V38" i="12" s="1"/>
  <c r="C34" i="32"/>
  <c r="G33" i="32"/>
  <c r="F33" i="32"/>
  <c r="E33" i="32"/>
  <c r="D33" i="32"/>
  <c r="C33" i="32"/>
  <c r="V37" i="10" s="1"/>
  <c r="G32" i="32"/>
  <c r="V36" i="14" s="1"/>
  <c r="F32" i="32"/>
  <c r="V36" i="13" s="1"/>
  <c r="E32" i="32"/>
  <c r="D32" i="32"/>
  <c r="C32" i="32"/>
  <c r="G31" i="32"/>
  <c r="F31" i="32"/>
  <c r="E31" i="32"/>
  <c r="V35" i="11" s="1"/>
  <c r="D31" i="32"/>
  <c r="V35" i="12" s="1"/>
  <c r="C31" i="32"/>
  <c r="V35" i="10" s="1"/>
  <c r="G30" i="32"/>
  <c r="F30" i="32"/>
  <c r="E30" i="32"/>
  <c r="D30" i="32"/>
  <c r="C30" i="32"/>
  <c r="G29" i="32"/>
  <c r="V33" i="14" s="1"/>
  <c r="F29" i="32"/>
  <c r="V33" i="13" s="1"/>
  <c r="E29" i="32"/>
  <c r="V33" i="11" s="1"/>
  <c r="D29" i="32"/>
  <c r="C29" i="32"/>
  <c r="G28" i="32"/>
  <c r="F28" i="32"/>
  <c r="E28" i="32"/>
  <c r="D28" i="32"/>
  <c r="V32" i="12" s="1"/>
  <c r="C28" i="32"/>
  <c r="V32" i="10" s="1"/>
  <c r="G27" i="32"/>
  <c r="V31" i="14" s="1"/>
  <c r="F27" i="32"/>
  <c r="E27" i="32"/>
  <c r="D27" i="32"/>
  <c r="C27" i="32"/>
  <c r="G26" i="32"/>
  <c r="F26" i="32"/>
  <c r="V30" i="13" s="1"/>
  <c r="E26" i="32"/>
  <c r="V30" i="11" s="1"/>
  <c r="D26" i="32"/>
  <c r="V30" i="12" s="1"/>
  <c r="C26" i="32"/>
  <c r="G25" i="32"/>
  <c r="F25" i="32"/>
  <c r="E25" i="32"/>
  <c r="D25" i="32"/>
  <c r="C25" i="32"/>
  <c r="V29" i="10" s="1"/>
  <c r="G24" i="32"/>
  <c r="V28" i="14" s="1"/>
  <c r="F24" i="32"/>
  <c r="V28" i="13" s="1"/>
  <c r="E24" i="32"/>
  <c r="D24" i="32"/>
  <c r="C24" i="32"/>
  <c r="G23" i="32"/>
  <c r="F23" i="32"/>
  <c r="E23" i="32"/>
  <c r="V27" i="11" s="1"/>
  <c r="D23" i="32"/>
  <c r="V27" i="12" s="1"/>
  <c r="C23" i="32"/>
  <c r="V27" i="10" s="1"/>
  <c r="G22" i="32"/>
  <c r="F22" i="32"/>
  <c r="E22" i="32"/>
  <c r="D22" i="32"/>
  <c r="C22" i="32"/>
  <c r="G21" i="32"/>
  <c r="V25" i="14" s="1"/>
  <c r="F21" i="32"/>
  <c r="V25" i="13" s="1"/>
  <c r="E21" i="32"/>
  <c r="V25" i="11" s="1"/>
  <c r="D21" i="32"/>
  <c r="C21" i="32"/>
  <c r="G20" i="32"/>
  <c r="F20" i="32"/>
  <c r="E20" i="32"/>
  <c r="D20" i="32"/>
  <c r="V24" i="12" s="1"/>
  <c r="C20" i="32"/>
  <c r="V24" i="10" s="1"/>
  <c r="G19" i="32"/>
  <c r="V23" i="14" s="1"/>
  <c r="F19" i="32"/>
  <c r="E19" i="32"/>
  <c r="D19" i="32"/>
  <c r="C19" i="32"/>
  <c r="G18" i="32"/>
  <c r="F18" i="32"/>
  <c r="V22" i="13" s="1"/>
  <c r="E18" i="32"/>
  <c r="V22" i="11" s="1"/>
  <c r="D18" i="32"/>
  <c r="V22" i="12" s="1"/>
  <c r="C18" i="32"/>
  <c r="G17" i="32"/>
  <c r="F17" i="32"/>
  <c r="E17" i="32"/>
  <c r="D17" i="32"/>
  <c r="C17" i="32"/>
  <c r="V21" i="10" s="1"/>
  <c r="G16" i="32"/>
  <c r="V20" i="14" s="1"/>
  <c r="F16" i="32"/>
  <c r="V20" i="13" s="1"/>
  <c r="E16" i="32"/>
  <c r="D16" i="32"/>
  <c r="C16" i="32"/>
  <c r="G15" i="32"/>
  <c r="F15" i="32"/>
  <c r="E15" i="32"/>
  <c r="V19" i="11" s="1"/>
  <c r="D15" i="32"/>
  <c r="V19" i="12" s="1"/>
  <c r="C15" i="32"/>
  <c r="V19" i="10" s="1"/>
  <c r="G14" i="32"/>
  <c r="F14" i="32"/>
  <c r="E14" i="32"/>
  <c r="D14" i="32"/>
  <c r="C14" i="32"/>
  <c r="G13" i="32"/>
  <c r="V17" i="14" s="1"/>
  <c r="F13" i="32"/>
  <c r="V17" i="13" s="1"/>
  <c r="E13" i="32"/>
  <c r="V17" i="11" s="1"/>
  <c r="D13" i="32"/>
  <c r="C13" i="32"/>
  <c r="G12" i="32"/>
  <c r="F12" i="32"/>
  <c r="E12" i="32"/>
  <c r="D12" i="32"/>
  <c r="V16" i="12" s="1"/>
  <c r="C12" i="32"/>
  <c r="V16" i="10" s="1"/>
  <c r="G11" i="32"/>
  <c r="V15" i="14" s="1"/>
  <c r="F11" i="32"/>
  <c r="E11" i="32"/>
  <c r="D11" i="32"/>
  <c r="C11" i="32"/>
  <c r="G10" i="32"/>
  <c r="F10" i="32"/>
  <c r="V14" i="13" s="1"/>
  <c r="E10" i="32"/>
  <c r="V14" i="11" s="1"/>
  <c r="D10" i="32"/>
  <c r="V14" i="12" s="1"/>
  <c r="C10" i="32"/>
  <c r="V62" i="19"/>
  <c r="W62" i="19"/>
  <c r="W59" i="14"/>
  <c r="W35" i="14"/>
  <c r="W27" i="14"/>
  <c r="W19" i="14"/>
  <c r="W64" i="13"/>
  <c r="W56" i="13"/>
  <c r="W48" i="13"/>
  <c r="W24" i="13"/>
  <c r="W16" i="13"/>
  <c r="W61" i="11"/>
  <c r="W53" i="11"/>
  <c r="W45" i="11"/>
  <c r="W37" i="11"/>
  <c r="W66" i="12"/>
  <c r="W58" i="12"/>
  <c r="W50" i="12"/>
  <c r="W42" i="12"/>
  <c r="W34" i="12"/>
  <c r="W26" i="12"/>
  <c r="W63" i="10"/>
  <c r="W55" i="10"/>
  <c r="W47" i="10"/>
  <c r="W39" i="10"/>
  <c r="W31" i="10"/>
  <c r="W23" i="10"/>
  <c r="W15" i="10"/>
  <c r="W66" i="13"/>
  <c r="W66" i="11"/>
  <c r="W66" i="10"/>
  <c r="W65" i="14"/>
  <c r="W65" i="10"/>
  <c r="W64" i="14"/>
  <c r="W64" i="11"/>
  <c r="W64" i="12"/>
  <c r="W63" i="11"/>
  <c r="W63" i="12"/>
  <c r="W62" i="13"/>
  <c r="W61" i="14"/>
  <c r="W61" i="13"/>
  <c r="W61" i="10"/>
  <c r="W60" i="12"/>
  <c r="W60" i="10"/>
  <c r="W59" i="13"/>
  <c r="W59" i="11"/>
  <c r="W58" i="13"/>
  <c r="W58" i="11"/>
  <c r="W58" i="10"/>
  <c r="W57" i="14"/>
  <c r="W57" i="10"/>
  <c r="W56" i="14"/>
  <c r="W56" i="11"/>
  <c r="W56" i="12"/>
  <c r="W55" i="11"/>
  <c r="W55" i="12"/>
  <c r="W54" i="14"/>
  <c r="W54" i="13"/>
  <c r="W53" i="14"/>
  <c r="W53" i="13"/>
  <c r="W53" i="12"/>
  <c r="W53" i="10"/>
  <c r="W52" i="12"/>
  <c r="W52" i="10"/>
  <c r="W51" i="13"/>
  <c r="W51" i="11"/>
  <c r="W50" i="13"/>
  <c r="W50" i="11"/>
  <c r="W50" i="10"/>
  <c r="W49" i="14"/>
  <c r="W49" i="10"/>
  <c r="W48" i="14"/>
  <c r="W48" i="11"/>
  <c r="W48" i="12"/>
  <c r="W47" i="11"/>
  <c r="W47" i="12"/>
  <c r="W46" i="14"/>
  <c r="W46" i="13"/>
  <c r="W45" i="14"/>
  <c r="W45" i="13"/>
  <c r="W45" i="12"/>
  <c r="W45" i="10"/>
  <c r="W44" i="12"/>
  <c r="W44" i="10"/>
  <c r="W43" i="13"/>
  <c r="W43" i="11"/>
  <c r="W42" i="13"/>
  <c r="W42" i="11"/>
  <c r="W42" i="10"/>
  <c r="W41" i="14"/>
  <c r="W41" i="10"/>
  <c r="W40" i="14"/>
  <c r="W40" i="11"/>
  <c r="W40" i="12"/>
  <c r="W39" i="11"/>
  <c r="W39" i="12"/>
  <c r="W38" i="14"/>
  <c r="W38" i="13"/>
  <c r="W37" i="14"/>
  <c r="W37" i="13"/>
  <c r="W37" i="12"/>
  <c r="W37" i="10"/>
  <c r="W36" i="12"/>
  <c r="W36" i="10"/>
  <c r="W35" i="13"/>
  <c r="W35" i="11"/>
  <c r="W34" i="13"/>
  <c r="W34" i="11"/>
  <c r="W34" i="10"/>
  <c r="W33" i="14"/>
  <c r="W33" i="10"/>
  <c r="W32" i="14"/>
  <c r="W32" i="11"/>
  <c r="W32" i="12"/>
  <c r="W31" i="11"/>
  <c r="W31" i="12"/>
  <c r="W30" i="14"/>
  <c r="W30" i="13"/>
  <c r="W29" i="14"/>
  <c r="W29" i="13"/>
  <c r="W29" i="12"/>
  <c r="W29" i="10"/>
  <c r="W28" i="12"/>
  <c r="W28" i="10"/>
  <c r="W27" i="13"/>
  <c r="W27" i="11"/>
  <c r="W26" i="13"/>
  <c r="W26" i="11"/>
  <c r="W26" i="10"/>
  <c r="W25" i="14"/>
  <c r="W25" i="10"/>
  <c r="W24" i="14"/>
  <c r="W24" i="11"/>
  <c r="W24" i="12"/>
  <c r="W23" i="11"/>
  <c r="W23" i="12"/>
  <c r="W22" i="14"/>
  <c r="W22" i="13"/>
  <c r="W21" i="14"/>
  <c r="W21" i="13"/>
  <c r="W21" i="12"/>
  <c r="W21" i="10"/>
  <c r="W20" i="12"/>
  <c r="W20" i="10"/>
  <c r="W19" i="13"/>
  <c r="W19" i="11"/>
  <c r="W18" i="13"/>
  <c r="W18" i="11"/>
  <c r="W18" i="10"/>
  <c r="W17" i="14"/>
  <c r="W17" i="10"/>
  <c r="W16" i="14"/>
  <c r="W16" i="11"/>
  <c r="W16" i="12"/>
  <c r="W15" i="11"/>
  <c r="W15" i="12"/>
  <c r="W14" i="14"/>
  <c r="W14" i="13"/>
  <c r="V65" i="13"/>
  <c r="V64" i="14"/>
  <c r="V64" i="13"/>
  <c r="V63" i="12"/>
  <c r="V63" i="10"/>
  <c r="V62" i="14"/>
  <c r="V61" i="13"/>
  <c r="V61" i="11"/>
  <c r="V61" i="12"/>
  <c r="V60" i="10"/>
  <c r="V59" i="14"/>
  <c r="V58" i="11"/>
  <c r="V58" i="12"/>
  <c r="V58" i="10"/>
  <c r="V56" i="14"/>
  <c r="V56" i="13"/>
  <c r="V56" i="11"/>
  <c r="V55" i="12"/>
  <c r="V55" i="10"/>
  <c r="V53" i="13"/>
  <c r="V53" i="11"/>
  <c r="V53" i="12"/>
  <c r="V52" i="10"/>
  <c r="V51" i="14"/>
  <c r="V51" i="13"/>
  <c r="V50" i="11"/>
  <c r="V50" i="12"/>
  <c r="V48" i="14"/>
  <c r="V48" i="13"/>
  <c r="V48" i="11"/>
  <c r="V47" i="12"/>
  <c r="V47" i="10"/>
  <c r="V46" i="14"/>
  <c r="V45" i="13"/>
  <c r="V45" i="11"/>
  <c r="V44" i="10"/>
  <c r="V43" i="14"/>
  <c r="V43" i="13"/>
  <c r="V42" i="11"/>
  <c r="V42" i="12"/>
  <c r="V42" i="10"/>
  <c r="V40" i="14"/>
  <c r="V40" i="13"/>
  <c r="V39" i="12"/>
  <c r="V39" i="10"/>
  <c r="V38" i="14"/>
  <c r="V37" i="13"/>
  <c r="V37" i="11"/>
  <c r="V37" i="12"/>
  <c r="V36" i="10"/>
  <c r="V35" i="14"/>
  <c r="V34" i="11"/>
  <c r="V34" i="12"/>
  <c r="V34" i="10"/>
  <c r="V32" i="14"/>
  <c r="V32" i="13"/>
  <c r="V32" i="11"/>
  <c r="V31" i="12"/>
  <c r="V31" i="10"/>
  <c r="V30" i="14"/>
  <c r="V29" i="13"/>
  <c r="V29" i="11"/>
  <c r="V29" i="12"/>
  <c r="V28" i="10"/>
  <c r="V27" i="14"/>
  <c r="V27" i="13"/>
  <c r="V26" i="11"/>
  <c r="V26" i="12"/>
  <c r="V26" i="10"/>
  <c r="V24" i="14"/>
  <c r="V24" i="13"/>
  <c r="V24" i="11"/>
  <c r="V23" i="12"/>
  <c r="V23" i="10"/>
  <c r="V22" i="14"/>
  <c r="V21" i="13"/>
  <c r="V21" i="11"/>
  <c r="V21" i="12"/>
  <c r="V20" i="10"/>
  <c r="V19" i="14"/>
  <c r="V19" i="13"/>
  <c r="V18" i="11"/>
  <c r="V18" i="12"/>
  <c r="V16" i="14"/>
  <c r="V16" i="13"/>
  <c r="V16" i="11"/>
  <c r="V15" i="12"/>
  <c r="V15" i="10"/>
  <c r="V14" i="14"/>
  <c r="V65" i="12"/>
  <c r="V65" i="10"/>
  <c r="V64" i="11"/>
  <c r="V63" i="13"/>
  <c r="V63" i="11"/>
  <c r="V62" i="10"/>
  <c r="V61" i="14"/>
  <c r="V60" i="11"/>
  <c r="V60" i="12"/>
  <c r="V59" i="13"/>
  <c r="V58" i="14"/>
  <c r="V58" i="13"/>
  <c r="V57" i="12"/>
  <c r="V57" i="10"/>
  <c r="V55" i="13"/>
  <c r="V55" i="11"/>
  <c r="V54" i="14"/>
  <c r="V54" i="10"/>
  <c r="V53" i="14"/>
  <c r="V52" i="11"/>
  <c r="V52" i="12"/>
  <c r="V50" i="14"/>
  <c r="V50" i="13"/>
  <c r="V50" i="10"/>
  <c r="V49" i="12"/>
  <c r="V49" i="10"/>
  <c r="V47" i="13"/>
  <c r="V47" i="11"/>
  <c r="V46" i="12"/>
  <c r="V46" i="10"/>
  <c r="V45" i="14"/>
  <c r="V45" i="12"/>
  <c r="V44" i="11"/>
  <c r="V44" i="12"/>
  <c r="V42" i="14"/>
  <c r="V42" i="13"/>
  <c r="V41" i="12"/>
  <c r="V41" i="10"/>
  <c r="V40" i="11"/>
  <c r="V39" i="13"/>
  <c r="V39" i="11"/>
  <c r="V38" i="10"/>
  <c r="V37" i="14"/>
  <c r="V36" i="11"/>
  <c r="V36" i="12"/>
  <c r="V35" i="13"/>
  <c r="V34" i="14"/>
  <c r="V34" i="13"/>
  <c r="V33" i="12"/>
  <c r="V33" i="10"/>
  <c r="V31" i="13"/>
  <c r="V31" i="11"/>
  <c r="V30" i="10"/>
  <c r="V29" i="14"/>
  <c r="V28" i="11"/>
  <c r="V28" i="12"/>
  <c r="V26" i="14"/>
  <c r="V26" i="13"/>
  <c r="V25" i="12"/>
  <c r="V25" i="10"/>
  <c r="V23" i="13"/>
  <c r="V23" i="11"/>
  <c r="V22" i="10"/>
  <c r="V21" i="14"/>
  <c r="V20" i="11"/>
  <c r="V20" i="12"/>
  <c r="V18" i="14"/>
  <c r="V18" i="13"/>
  <c r="V18" i="10"/>
  <c r="V17" i="12"/>
  <c r="V17" i="10"/>
  <c r="V15" i="13"/>
  <c r="V15" i="11"/>
  <c r="V14" i="10"/>
  <c r="G61" i="31" l="1"/>
  <c r="F61" i="31"/>
  <c r="E61" i="31"/>
  <c r="D61" i="31"/>
  <c r="C61" i="31"/>
  <c r="G60" i="31"/>
  <c r="F60" i="31"/>
  <c r="E60" i="31"/>
  <c r="D60" i="31"/>
  <c r="C60" i="31"/>
  <c r="G59" i="31"/>
  <c r="F59" i="31"/>
  <c r="E59" i="31"/>
  <c r="D59" i="31"/>
  <c r="C59" i="31"/>
  <c r="G58" i="31"/>
  <c r="F58" i="31"/>
  <c r="E58" i="31"/>
  <c r="D58" i="31"/>
  <c r="C58" i="31"/>
  <c r="G57" i="31"/>
  <c r="F57" i="31"/>
  <c r="E57" i="31"/>
  <c r="D57" i="31"/>
  <c r="C57" i="31"/>
  <c r="G56" i="31"/>
  <c r="F56" i="31"/>
  <c r="E56" i="31"/>
  <c r="D56" i="31"/>
  <c r="C56" i="31"/>
  <c r="G55" i="31"/>
  <c r="F55" i="31"/>
  <c r="E55" i="31"/>
  <c r="D55" i="31"/>
  <c r="C55" i="31"/>
  <c r="G54" i="31"/>
  <c r="F54" i="31"/>
  <c r="E54" i="31"/>
  <c r="D54" i="31"/>
  <c r="C54" i="31"/>
  <c r="G53" i="31"/>
  <c r="F53" i="31"/>
  <c r="E53" i="31"/>
  <c r="D53" i="31"/>
  <c r="C53" i="31"/>
  <c r="G52" i="31"/>
  <c r="F52" i="31"/>
  <c r="E52" i="31"/>
  <c r="D52" i="31"/>
  <c r="C52" i="31"/>
  <c r="G51" i="31"/>
  <c r="F51" i="31"/>
  <c r="E51" i="31"/>
  <c r="D51" i="31"/>
  <c r="C51" i="31"/>
  <c r="G50" i="31"/>
  <c r="F50" i="31"/>
  <c r="E50" i="31"/>
  <c r="D50" i="31"/>
  <c r="C50" i="31"/>
  <c r="G49" i="31"/>
  <c r="F49" i="31"/>
  <c r="E49" i="31"/>
  <c r="D49" i="31"/>
  <c r="C49" i="31"/>
  <c r="G48" i="31"/>
  <c r="F48" i="31"/>
  <c r="E48" i="31"/>
  <c r="D48" i="31"/>
  <c r="C48" i="31"/>
  <c r="G47" i="31"/>
  <c r="F47" i="31"/>
  <c r="E47" i="31"/>
  <c r="D47" i="31"/>
  <c r="C47" i="31"/>
  <c r="G46" i="31"/>
  <c r="F46" i="31"/>
  <c r="E46" i="31"/>
  <c r="D46" i="31"/>
  <c r="C46" i="31"/>
  <c r="G45" i="31"/>
  <c r="F45" i="31"/>
  <c r="E45" i="31"/>
  <c r="D45" i="31"/>
  <c r="C45" i="31"/>
  <c r="G44" i="31"/>
  <c r="F44" i="31"/>
  <c r="E44" i="31"/>
  <c r="D44" i="31"/>
  <c r="C44" i="31"/>
  <c r="G43" i="31"/>
  <c r="F43" i="31"/>
  <c r="E43" i="31"/>
  <c r="D43" i="31"/>
  <c r="C43" i="31"/>
  <c r="G42" i="31"/>
  <c r="F42" i="31"/>
  <c r="E42" i="31"/>
  <c r="D42" i="31"/>
  <c r="C42" i="31"/>
  <c r="G41" i="31"/>
  <c r="F41" i="31"/>
  <c r="E41" i="31"/>
  <c r="D41" i="31"/>
  <c r="C41" i="31"/>
  <c r="G40" i="31"/>
  <c r="F40" i="31"/>
  <c r="E40" i="31"/>
  <c r="D40" i="31"/>
  <c r="C40" i="31"/>
  <c r="G39" i="31"/>
  <c r="F39" i="31"/>
  <c r="E39" i="31"/>
  <c r="D39" i="31"/>
  <c r="C39" i="31"/>
  <c r="G38" i="31"/>
  <c r="F38" i="31"/>
  <c r="E38" i="31"/>
  <c r="D38" i="31"/>
  <c r="C38" i="31"/>
  <c r="G37" i="31"/>
  <c r="F37" i="31"/>
  <c r="E37" i="31"/>
  <c r="D37" i="31"/>
  <c r="C37" i="31"/>
  <c r="G36" i="31"/>
  <c r="F36" i="31"/>
  <c r="E36" i="31"/>
  <c r="D36" i="31"/>
  <c r="C36" i="31"/>
  <c r="G35" i="31"/>
  <c r="F35" i="31"/>
  <c r="E35" i="31"/>
  <c r="D35" i="31"/>
  <c r="C35" i="31"/>
  <c r="G34" i="31"/>
  <c r="F34" i="31"/>
  <c r="E34" i="31"/>
  <c r="D34" i="31"/>
  <c r="C34" i="31"/>
  <c r="G33" i="31"/>
  <c r="F33" i="31"/>
  <c r="E33" i="31"/>
  <c r="D33" i="31"/>
  <c r="C33" i="31"/>
  <c r="G32" i="31"/>
  <c r="F32" i="31"/>
  <c r="E32" i="31"/>
  <c r="D32" i="31"/>
  <c r="C32" i="31"/>
  <c r="G31" i="31"/>
  <c r="F31" i="31"/>
  <c r="E31" i="31"/>
  <c r="D31" i="31"/>
  <c r="C31" i="31"/>
  <c r="G30" i="31"/>
  <c r="F30" i="31"/>
  <c r="E30" i="31"/>
  <c r="D30" i="31"/>
  <c r="C30" i="31"/>
  <c r="G29" i="31"/>
  <c r="F29" i="31"/>
  <c r="E29" i="31"/>
  <c r="D29" i="31"/>
  <c r="C29" i="31"/>
  <c r="G28" i="31"/>
  <c r="F28" i="31"/>
  <c r="E28" i="31"/>
  <c r="D28" i="31"/>
  <c r="C28" i="31"/>
  <c r="G27" i="31"/>
  <c r="F27" i="31"/>
  <c r="E27" i="31"/>
  <c r="D27" i="31"/>
  <c r="C27" i="31"/>
  <c r="G26" i="31"/>
  <c r="F26" i="31"/>
  <c r="E26" i="31"/>
  <c r="D26" i="31"/>
  <c r="C26" i="31"/>
  <c r="G25" i="31"/>
  <c r="F25" i="31"/>
  <c r="E25" i="31"/>
  <c r="D25" i="31"/>
  <c r="C25" i="31"/>
  <c r="G24" i="31"/>
  <c r="F24" i="31"/>
  <c r="E24" i="31"/>
  <c r="D24" i="31"/>
  <c r="C24" i="31"/>
  <c r="G23" i="31"/>
  <c r="F23" i="31"/>
  <c r="E23" i="31"/>
  <c r="D23" i="31"/>
  <c r="C23" i="31"/>
  <c r="G22" i="31"/>
  <c r="F22" i="31"/>
  <c r="E22" i="31"/>
  <c r="D22" i="31"/>
  <c r="C22" i="31"/>
  <c r="G21" i="31"/>
  <c r="F21" i="31"/>
  <c r="E21" i="31"/>
  <c r="D21" i="31"/>
  <c r="C21" i="31"/>
  <c r="G20" i="31"/>
  <c r="F20" i="31"/>
  <c r="E20" i="31"/>
  <c r="D20" i="31"/>
  <c r="C20" i="31"/>
  <c r="G19" i="31"/>
  <c r="F19" i="31"/>
  <c r="E19" i="31"/>
  <c r="D19" i="31"/>
  <c r="C19" i="31"/>
  <c r="G18" i="31"/>
  <c r="F18" i="31"/>
  <c r="E18" i="31"/>
  <c r="D18" i="31"/>
  <c r="C18" i="31"/>
  <c r="G17" i="31"/>
  <c r="F17" i="31"/>
  <c r="E17" i="31"/>
  <c r="D17" i="31"/>
  <c r="C17" i="31"/>
  <c r="G16" i="31"/>
  <c r="F16" i="31"/>
  <c r="E16" i="31"/>
  <c r="D16" i="31"/>
  <c r="C16" i="31"/>
  <c r="G15" i="31"/>
  <c r="F15" i="31"/>
  <c r="E15" i="31"/>
  <c r="D15" i="31"/>
  <c r="C15" i="31"/>
  <c r="G14" i="31"/>
  <c r="F14" i="31"/>
  <c r="E14" i="31"/>
  <c r="D14" i="31"/>
  <c r="C14" i="31"/>
  <c r="G13" i="31"/>
  <c r="F13" i="31"/>
  <c r="E13" i="31"/>
  <c r="D13" i="31"/>
  <c r="C13" i="31"/>
  <c r="G12" i="31"/>
  <c r="F12" i="31"/>
  <c r="E12" i="31"/>
  <c r="D12" i="31"/>
  <c r="C12" i="31"/>
  <c r="G11" i="31"/>
  <c r="F11" i="31"/>
  <c r="E11" i="31"/>
  <c r="D11" i="31"/>
  <c r="C11" i="31"/>
  <c r="G10" i="31"/>
  <c r="F10" i="31"/>
  <c r="E10" i="31"/>
  <c r="D10" i="31"/>
  <c r="C10" i="31"/>
  <c r="U62" i="19"/>
  <c r="G62" i="31" l="1"/>
  <c r="V66" i="14"/>
  <c r="V66" i="13"/>
  <c r="V66" i="11"/>
  <c r="V66" i="12"/>
  <c r="V66" i="10"/>
  <c r="C62" i="31"/>
  <c r="D62" i="31"/>
  <c r="E62" i="31"/>
  <c r="F62" i="31"/>
  <c r="B54" i="30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G62" i="4"/>
  <c r="C66" i="14" s="1"/>
  <c r="F62" i="4"/>
  <c r="C66" i="13" s="1"/>
  <c r="E62" i="4"/>
  <c r="D62" i="4"/>
  <c r="C62" i="4"/>
  <c r="C66" i="10" s="1"/>
  <c r="G61" i="4"/>
  <c r="C65" i="14" s="1"/>
  <c r="F61" i="4"/>
  <c r="C65" i="13" s="1"/>
  <c r="E61" i="4"/>
  <c r="C65" i="11" s="1"/>
  <c r="D61" i="4"/>
  <c r="C65" i="12" s="1"/>
  <c r="C61" i="4"/>
  <c r="C65" i="10" s="1"/>
  <c r="G60" i="4"/>
  <c r="F60" i="4"/>
  <c r="C64" i="13" s="1"/>
  <c r="E60" i="4"/>
  <c r="D60" i="4"/>
  <c r="C64" i="12" s="1"/>
  <c r="C60" i="4"/>
  <c r="C64" i="10" s="1"/>
  <c r="G59" i="4"/>
  <c r="C63" i="14" s="1"/>
  <c r="F59" i="4"/>
  <c r="C63" i="13" s="1"/>
  <c r="E59" i="4"/>
  <c r="C63" i="11" s="1"/>
  <c r="D59" i="4"/>
  <c r="C59" i="4"/>
  <c r="G58" i="4"/>
  <c r="C62" i="14" s="1"/>
  <c r="F58" i="4"/>
  <c r="C62" i="13" s="1"/>
  <c r="E58" i="4"/>
  <c r="C62" i="11" s="1"/>
  <c r="D58" i="4"/>
  <c r="C62" i="12" s="1"/>
  <c r="C58" i="4"/>
  <c r="C62" i="10" s="1"/>
  <c r="G57" i="4"/>
  <c r="C61" i="14" s="1"/>
  <c r="F57" i="4"/>
  <c r="C61" i="13" s="1"/>
  <c r="E57" i="4"/>
  <c r="C61" i="11" s="1"/>
  <c r="D57" i="4"/>
  <c r="C61" i="12" s="1"/>
  <c r="C57" i="4"/>
  <c r="C61" i="10" s="1"/>
  <c r="G56" i="4"/>
  <c r="C60" i="14" s="1"/>
  <c r="F56" i="4"/>
  <c r="C60" i="13" s="1"/>
  <c r="E56" i="4"/>
  <c r="C60" i="11" s="1"/>
  <c r="D56" i="4"/>
  <c r="C60" i="12" s="1"/>
  <c r="C56" i="4"/>
  <c r="G55" i="4"/>
  <c r="F55" i="4"/>
  <c r="C59" i="13" s="1"/>
  <c r="E55" i="4"/>
  <c r="C59" i="11" s="1"/>
  <c r="D55" i="4"/>
  <c r="C59" i="12" s="1"/>
  <c r="C55" i="4"/>
  <c r="C59" i="10" s="1"/>
  <c r="G54" i="4"/>
  <c r="C58" i="14" s="1"/>
  <c r="F54" i="4"/>
  <c r="C58" i="13" s="1"/>
  <c r="E54" i="4"/>
  <c r="C58" i="11" s="1"/>
  <c r="D54" i="4"/>
  <c r="C54" i="4"/>
  <c r="C58" i="10" s="1"/>
  <c r="G53" i="4"/>
  <c r="C57" i="14" s="1"/>
  <c r="F53" i="4"/>
  <c r="C57" i="13" s="1"/>
  <c r="E53" i="4"/>
  <c r="C57" i="11" s="1"/>
  <c r="D53" i="4"/>
  <c r="C57" i="12" s="1"/>
  <c r="C53" i="4"/>
  <c r="C57" i="10" s="1"/>
  <c r="G52" i="4"/>
  <c r="F52" i="4"/>
  <c r="C56" i="13" s="1"/>
  <c r="E52" i="4"/>
  <c r="C56" i="11" s="1"/>
  <c r="D52" i="4"/>
  <c r="C56" i="12" s="1"/>
  <c r="C52" i="4"/>
  <c r="C56" i="10" s="1"/>
  <c r="G51" i="4"/>
  <c r="C55" i="14" s="1"/>
  <c r="F51" i="4"/>
  <c r="C55" i="13" s="1"/>
  <c r="E51" i="4"/>
  <c r="C55" i="11" s="1"/>
  <c r="D51" i="4"/>
  <c r="C51" i="4"/>
  <c r="G50" i="4"/>
  <c r="C54" i="14" s="1"/>
  <c r="F50" i="4"/>
  <c r="C54" i="13" s="1"/>
  <c r="E50" i="4"/>
  <c r="C54" i="11" s="1"/>
  <c r="D50" i="4"/>
  <c r="C54" i="12" s="1"/>
  <c r="C50" i="4"/>
  <c r="C54" i="10" s="1"/>
  <c r="G49" i="4"/>
  <c r="C53" i="14" s="1"/>
  <c r="F49" i="4"/>
  <c r="E49" i="4"/>
  <c r="C53" i="11" s="1"/>
  <c r="D49" i="4"/>
  <c r="C53" i="12" s="1"/>
  <c r="C49" i="4"/>
  <c r="C53" i="10" s="1"/>
  <c r="G48" i="4"/>
  <c r="C52" i="14" s="1"/>
  <c r="F48" i="4"/>
  <c r="C52" i="13" s="1"/>
  <c r="E48" i="4"/>
  <c r="C52" i="11" s="1"/>
  <c r="D48" i="4"/>
  <c r="C52" i="12" s="1"/>
  <c r="C48" i="4"/>
  <c r="G47" i="4"/>
  <c r="F47" i="4"/>
  <c r="C51" i="13" s="1"/>
  <c r="E47" i="4"/>
  <c r="C51" i="11" s="1"/>
  <c r="D47" i="4"/>
  <c r="C51" i="12" s="1"/>
  <c r="C47" i="4"/>
  <c r="C51" i="10" s="1"/>
  <c r="G46" i="4"/>
  <c r="C50" i="14" s="1"/>
  <c r="F46" i="4"/>
  <c r="C50" i="13" s="1"/>
  <c r="E46" i="4"/>
  <c r="C50" i="11" s="1"/>
  <c r="D46" i="4"/>
  <c r="C46" i="4"/>
  <c r="G45" i="4"/>
  <c r="C49" i="14" s="1"/>
  <c r="F45" i="4"/>
  <c r="C49" i="13" s="1"/>
  <c r="E45" i="4"/>
  <c r="C49" i="11" s="1"/>
  <c r="D45" i="4"/>
  <c r="C49" i="12" s="1"/>
  <c r="C45" i="4"/>
  <c r="C49" i="10" s="1"/>
  <c r="G44" i="4"/>
  <c r="C48" i="14" s="1"/>
  <c r="F44" i="4"/>
  <c r="E44" i="4"/>
  <c r="C48" i="11" s="1"/>
  <c r="D44" i="4"/>
  <c r="C48" i="12" s="1"/>
  <c r="C44" i="4"/>
  <c r="C48" i="10" s="1"/>
  <c r="G43" i="4"/>
  <c r="C47" i="14" s="1"/>
  <c r="F43" i="4"/>
  <c r="C47" i="13" s="1"/>
  <c r="E43" i="4"/>
  <c r="C47" i="11" s="1"/>
  <c r="D43" i="4"/>
  <c r="C43" i="4"/>
  <c r="G42" i="4"/>
  <c r="C46" i="14" s="1"/>
  <c r="F42" i="4"/>
  <c r="C46" i="13" s="1"/>
  <c r="E42" i="4"/>
  <c r="C46" i="11" s="1"/>
  <c r="D42" i="4"/>
  <c r="C46" i="12" s="1"/>
  <c r="C42" i="4"/>
  <c r="C46" i="10" s="1"/>
  <c r="G41" i="4"/>
  <c r="C45" i="14" s="1"/>
  <c r="F41" i="4"/>
  <c r="E41" i="4"/>
  <c r="C45" i="11" s="1"/>
  <c r="D41" i="4"/>
  <c r="C41" i="4"/>
  <c r="C45" i="10" s="1"/>
  <c r="G40" i="4"/>
  <c r="C44" i="14" s="1"/>
  <c r="F40" i="4"/>
  <c r="C44" i="13" s="1"/>
  <c r="E40" i="4"/>
  <c r="C44" i="11" s="1"/>
  <c r="D40" i="4"/>
  <c r="C44" i="12" s="1"/>
  <c r="C40" i="4"/>
  <c r="G39" i="4"/>
  <c r="C43" i="14" s="1"/>
  <c r="F39" i="4"/>
  <c r="C43" i="13" s="1"/>
  <c r="E39" i="4"/>
  <c r="C43" i="11" s="1"/>
  <c r="D39" i="4"/>
  <c r="C43" i="12" s="1"/>
  <c r="C39" i="4"/>
  <c r="C43" i="10" s="1"/>
  <c r="G38" i="4"/>
  <c r="C42" i="14" s="1"/>
  <c r="F38" i="4"/>
  <c r="C42" i="13" s="1"/>
  <c r="E38" i="4"/>
  <c r="C42" i="11" s="1"/>
  <c r="D38" i="4"/>
  <c r="C38" i="4"/>
  <c r="C42" i="10" s="1"/>
  <c r="G37" i="4"/>
  <c r="C41" i="14" s="1"/>
  <c r="F37" i="4"/>
  <c r="C41" i="13" s="1"/>
  <c r="E37" i="4"/>
  <c r="C41" i="11" s="1"/>
  <c r="D37" i="4"/>
  <c r="C41" i="12" s="1"/>
  <c r="C37" i="4"/>
  <c r="C41" i="10" s="1"/>
  <c r="G36" i="4"/>
  <c r="F36" i="4"/>
  <c r="E36" i="4"/>
  <c r="C40" i="11" s="1"/>
  <c r="D36" i="4"/>
  <c r="C40" i="12" s="1"/>
  <c r="C36" i="4"/>
  <c r="C40" i="10" s="1"/>
  <c r="G35" i="4"/>
  <c r="C39" i="14" s="1"/>
  <c r="F35" i="4"/>
  <c r="C39" i="13" s="1"/>
  <c r="E35" i="4"/>
  <c r="C39" i="11" s="1"/>
  <c r="D35" i="4"/>
  <c r="C35" i="4"/>
  <c r="G34" i="4"/>
  <c r="C38" i="14" s="1"/>
  <c r="F34" i="4"/>
  <c r="C38" i="13" s="1"/>
  <c r="E34" i="4"/>
  <c r="C38" i="11" s="1"/>
  <c r="D34" i="4"/>
  <c r="C38" i="12" s="1"/>
  <c r="C34" i="4"/>
  <c r="C38" i="10" s="1"/>
  <c r="G33" i="4"/>
  <c r="C37" i="14" s="1"/>
  <c r="F33" i="4"/>
  <c r="E33" i="4"/>
  <c r="D33" i="4"/>
  <c r="C33" i="4"/>
  <c r="C37" i="10" s="1"/>
  <c r="G32" i="4"/>
  <c r="C36" i="14" s="1"/>
  <c r="F32" i="4"/>
  <c r="C36" i="13" s="1"/>
  <c r="E32" i="4"/>
  <c r="C36" i="11" s="1"/>
  <c r="D32" i="4"/>
  <c r="C36" i="12" s="1"/>
  <c r="C32" i="4"/>
  <c r="G31" i="4"/>
  <c r="C35" i="14" s="1"/>
  <c r="F31" i="4"/>
  <c r="C35" i="13" s="1"/>
  <c r="E31" i="4"/>
  <c r="C35" i="11" s="1"/>
  <c r="D31" i="4"/>
  <c r="C35" i="12" s="1"/>
  <c r="C31" i="4"/>
  <c r="C35" i="10" s="1"/>
  <c r="G30" i="4"/>
  <c r="C34" i="14" s="1"/>
  <c r="F30" i="4"/>
  <c r="C34" i="13" s="1"/>
  <c r="E30" i="4"/>
  <c r="D30" i="4"/>
  <c r="C30" i="4"/>
  <c r="C34" i="10" s="1"/>
  <c r="G29" i="4"/>
  <c r="C33" i="14" s="1"/>
  <c r="F29" i="4"/>
  <c r="C33" i="13" s="1"/>
  <c r="E29" i="4"/>
  <c r="C33" i="11" s="1"/>
  <c r="D29" i="4"/>
  <c r="C33" i="12" s="1"/>
  <c r="C29" i="4"/>
  <c r="C33" i="10" s="1"/>
  <c r="G28" i="4"/>
  <c r="C32" i="14" s="1"/>
  <c r="F28" i="4"/>
  <c r="E28" i="4"/>
  <c r="C32" i="11" s="1"/>
  <c r="D28" i="4"/>
  <c r="C32" i="12" s="1"/>
  <c r="C28" i="4"/>
  <c r="C32" i="10" s="1"/>
  <c r="G27" i="4"/>
  <c r="C31" i="14" s="1"/>
  <c r="F27" i="4"/>
  <c r="C31" i="13" s="1"/>
  <c r="E27" i="4"/>
  <c r="C31" i="11" s="1"/>
  <c r="D27" i="4"/>
  <c r="C27" i="4"/>
  <c r="G26" i="4"/>
  <c r="C30" i="14" s="1"/>
  <c r="F26" i="4"/>
  <c r="C30" i="13" s="1"/>
  <c r="E26" i="4"/>
  <c r="C30" i="11" s="1"/>
  <c r="D26" i="4"/>
  <c r="C30" i="12" s="1"/>
  <c r="C26" i="4"/>
  <c r="C30" i="10" s="1"/>
  <c r="G25" i="4"/>
  <c r="C29" i="14" s="1"/>
  <c r="F25" i="4"/>
  <c r="E25" i="4"/>
  <c r="D25" i="4"/>
  <c r="C29" i="12" s="1"/>
  <c r="C25" i="4"/>
  <c r="C29" i="10" s="1"/>
  <c r="G24" i="4"/>
  <c r="C28" i="14" s="1"/>
  <c r="F24" i="4"/>
  <c r="C28" i="13" s="1"/>
  <c r="E24" i="4"/>
  <c r="C28" i="11" s="1"/>
  <c r="D24" i="4"/>
  <c r="C28" i="12" s="1"/>
  <c r="C24" i="4"/>
  <c r="G23" i="4"/>
  <c r="F23" i="4"/>
  <c r="C27" i="13" s="1"/>
  <c r="E23" i="4"/>
  <c r="C27" i="11" s="1"/>
  <c r="D23" i="4"/>
  <c r="C27" i="12" s="1"/>
  <c r="C23" i="4"/>
  <c r="C27" i="10" s="1"/>
  <c r="G22" i="4"/>
  <c r="C26" i="14" s="1"/>
  <c r="F22" i="4"/>
  <c r="C26" i="13" s="1"/>
  <c r="E22" i="4"/>
  <c r="C26" i="11" s="1"/>
  <c r="D22" i="4"/>
  <c r="C22" i="4"/>
  <c r="C26" i="10" s="1"/>
  <c r="G21" i="4"/>
  <c r="C25" i="14" s="1"/>
  <c r="F21" i="4"/>
  <c r="C25" i="13" s="1"/>
  <c r="E21" i="4"/>
  <c r="C25" i="11" s="1"/>
  <c r="D21" i="4"/>
  <c r="C25" i="12" s="1"/>
  <c r="C21" i="4"/>
  <c r="C25" i="10" s="1"/>
  <c r="G20" i="4"/>
  <c r="C24" i="14" s="1"/>
  <c r="F20" i="4"/>
  <c r="E20" i="4"/>
  <c r="C24" i="11" s="1"/>
  <c r="D20" i="4"/>
  <c r="C24" i="12" s="1"/>
  <c r="C20" i="4"/>
  <c r="C24" i="10" s="1"/>
  <c r="G19" i="4"/>
  <c r="C23" i="14" s="1"/>
  <c r="F19" i="4"/>
  <c r="C23" i="13" s="1"/>
  <c r="E19" i="4"/>
  <c r="C23" i="11" s="1"/>
  <c r="D19" i="4"/>
  <c r="C19" i="4"/>
  <c r="G18" i="4"/>
  <c r="C22" i="14" s="1"/>
  <c r="F18" i="4"/>
  <c r="C22" i="13" s="1"/>
  <c r="E18" i="4"/>
  <c r="C22" i="11" s="1"/>
  <c r="D18" i="4"/>
  <c r="C22" i="12" s="1"/>
  <c r="C18" i="4"/>
  <c r="C22" i="10" s="1"/>
  <c r="G17" i="4"/>
  <c r="C21" i="14" s="1"/>
  <c r="F17" i="4"/>
  <c r="E17" i="4"/>
  <c r="D17" i="4"/>
  <c r="C21" i="12" s="1"/>
  <c r="C17" i="4"/>
  <c r="C21" i="10" s="1"/>
  <c r="G16" i="4"/>
  <c r="C20" i="14" s="1"/>
  <c r="F16" i="4"/>
  <c r="C20" i="13" s="1"/>
  <c r="E16" i="4"/>
  <c r="C20" i="11" s="1"/>
  <c r="D16" i="4"/>
  <c r="C20" i="12" s="1"/>
  <c r="C16" i="4"/>
  <c r="G15" i="4"/>
  <c r="C19" i="14" s="1"/>
  <c r="F15" i="4"/>
  <c r="C19" i="13" s="1"/>
  <c r="E15" i="4"/>
  <c r="C19" i="11" s="1"/>
  <c r="D15" i="4"/>
  <c r="C19" i="12" s="1"/>
  <c r="C15" i="4"/>
  <c r="C19" i="10" s="1"/>
  <c r="G14" i="4"/>
  <c r="C18" i="14" s="1"/>
  <c r="F14" i="4"/>
  <c r="C18" i="13" s="1"/>
  <c r="E14" i="4"/>
  <c r="D14" i="4"/>
  <c r="C14" i="4"/>
  <c r="C18" i="10" s="1"/>
  <c r="G13" i="4"/>
  <c r="C17" i="14" s="1"/>
  <c r="F13" i="4"/>
  <c r="C17" i="13" s="1"/>
  <c r="E13" i="4"/>
  <c r="C17" i="11" s="1"/>
  <c r="D13" i="4"/>
  <c r="C17" i="12" s="1"/>
  <c r="C13" i="4"/>
  <c r="C17" i="10" s="1"/>
  <c r="G12" i="4"/>
  <c r="C16" i="14" s="1"/>
  <c r="F12" i="4"/>
  <c r="E12" i="4"/>
  <c r="C16" i="11" s="1"/>
  <c r="D12" i="4"/>
  <c r="C16" i="12" s="1"/>
  <c r="C12" i="4"/>
  <c r="C16" i="10" s="1"/>
  <c r="G11" i="4"/>
  <c r="C15" i="14" s="1"/>
  <c r="F11" i="4"/>
  <c r="C15" i="13" s="1"/>
  <c r="E11" i="4"/>
  <c r="C15" i="11" s="1"/>
  <c r="D11" i="4"/>
  <c r="C11" i="4"/>
  <c r="G10" i="4"/>
  <c r="C14" i="14" s="1"/>
  <c r="F10" i="4"/>
  <c r="C14" i="13" s="1"/>
  <c r="E10" i="4"/>
  <c r="C14" i="11" s="1"/>
  <c r="D10" i="4"/>
  <c r="C14" i="12" s="1"/>
  <c r="C10" i="4"/>
  <c r="C14" i="10" s="1"/>
  <c r="G62" i="5"/>
  <c r="D66" i="14" s="1"/>
  <c r="F62" i="5"/>
  <c r="E62" i="5"/>
  <c r="D66" i="11" s="1"/>
  <c r="D62" i="5"/>
  <c r="C62" i="5"/>
  <c r="D66" i="10" s="1"/>
  <c r="G61" i="5"/>
  <c r="D65" i="14" s="1"/>
  <c r="F61" i="5"/>
  <c r="D65" i="13" s="1"/>
  <c r="E61" i="5"/>
  <c r="D65" i="11" s="1"/>
  <c r="D61" i="5"/>
  <c r="D65" i="12" s="1"/>
  <c r="C61" i="5"/>
  <c r="G60" i="5"/>
  <c r="D64" i="14" s="1"/>
  <c r="F60" i="5"/>
  <c r="D64" i="13" s="1"/>
  <c r="E60" i="5"/>
  <c r="D64" i="11" s="1"/>
  <c r="D60" i="5"/>
  <c r="D64" i="12" s="1"/>
  <c r="C60" i="5"/>
  <c r="D64" i="10" s="1"/>
  <c r="G59" i="5"/>
  <c r="D63" i="14" s="1"/>
  <c r="F59" i="5"/>
  <c r="D63" i="13" s="1"/>
  <c r="E59" i="5"/>
  <c r="D59" i="5"/>
  <c r="C59" i="5"/>
  <c r="D63" i="10" s="1"/>
  <c r="G58" i="5"/>
  <c r="D62" i="14" s="1"/>
  <c r="F58" i="5"/>
  <c r="D62" i="13" s="1"/>
  <c r="E58" i="5"/>
  <c r="D62" i="11" s="1"/>
  <c r="D58" i="5"/>
  <c r="D62" i="12" s="1"/>
  <c r="C58" i="5"/>
  <c r="D62" i="10" s="1"/>
  <c r="G57" i="5"/>
  <c r="F57" i="5"/>
  <c r="D61" i="13" s="1"/>
  <c r="E57" i="5"/>
  <c r="D57" i="5"/>
  <c r="D61" i="12" s="1"/>
  <c r="C57" i="5"/>
  <c r="D61" i="10" s="1"/>
  <c r="G56" i="5"/>
  <c r="D60" i="14" s="1"/>
  <c r="F56" i="5"/>
  <c r="D60" i="13" s="1"/>
  <c r="E56" i="5"/>
  <c r="D60" i="11" s="1"/>
  <c r="D56" i="5"/>
  <c r="C56" i="5"/>
  <c r="G55" i="5"/>
  <c r="D59" i="14" s="1"/>
  <c r="F55" i="5"/>
  <c r="D59" i="13" s="1"/>
  <c r="E55" i="5"/>
  <c r="D59" i="11" s="1"/>
  <c r="D55" i="5"/>
  <c r="D59" i="12" s="1"/>
  <c r="C55" i="5"/>
  <c r="D59" i="10" s="1"/>
  <c r="G54" i="5"/>
  <c r="D58" i="14" s="1"/>
  <c r="F54" i="5"/>
  <c r="E54" i="5"/>
  <c r="D54" i="5"/>
  <c r="C54" i="5"/>
  <c r="D58" i="10" s="1"/>
  <c r="G53" i="5"/>
  <c r="D57" i="14" s="1"/>
  <c r="F53" i="5"/>
  <c r="D57" i="13" s="1"/>
  <c r="E53" i="5"/>
  <c r="D57" i="11" s="1"/>
  <c r="D53" i="5"/>
  <c r="D57" i="12" s="1"/>
  <c r="C53" i="5"/>
  <c r="G52" i="5"/>
  <c r="F52" i="5"/>
  <c r="D56" i="13" s="1"/>
  <c r="E52" i="5"/>
  <c r="D56" i="11" s="1"/>
  <c r="D52" i="5"/>
  <c r="D56" i="12" s="1"/>
  <c r="C52" i="5"/>
  <c r="D56" i="10" s="1"/>
  <c r="G51" i="5"/>
  <c r="D55" i="14" s="1"/>
  <c r="F51" i="5"/>
  <c r="D55" i="13" s="1"/>
  <c r="E51" i="5"/>
  <c r="D51" i="5"/>
  <c r="C51" i="5"/>
  <c r="D55" i="10" s="1"/>
  <c r="G50" i="5"/>
  <c r="D54" i="14" s="1"/>
  <c r="F50" i="5"/>
  <c r="D54" i="13" s="1"/>
  <c r="E50" i="5"/>
  <c r="D54" i="11" s="1"/>
  <c r="D50" i="5"/>
  <c r="D54" i="12" s="1"/>
  <c r="C50" i="5"/>
  <c r="D54" i="10" s="1"/>
  <c r="G49" i="5"/>
  <c r="D53" i="14" s="1"/>
  <c r="F49" i="5"/>
  <c r="E49" i="5"/>
  <c r="D53" i="11" s="1"/>
  <c r="D49" i="5"/>
  <c r="D53" i="12" s="1"/>
  <c r="C49" i="5"/>
  <c r="D53" i="10" s="1"/>
  <c r="G48" i="5"/>
  <c r="D52" i="14" s="1"/>
  <c r="F48" i="5"/>
  <c r="D52" i="13" s="1"/>
  <c r="E48" i="5"/>
  <c r="D52" i="11" s="1"/>
  <c r="D48" i="5"/>
  <c r="C48" i="5"/>
  <c r="G47" i="5"/>
  <c r="D51" i="14" s="1"/>
  <c r="F47" i="5"/>
  <c r="D51" i="13" s="1"/>
  <c r="E47" i="5"/>
  <c r="D51" i="11" s="1"/>
  <c r="D47" i="5"/>
  <c r="D51" i="12" s="1"/>
  <c r="C47" i="5"/>
  <c r="D51" i="10" s="1"/>
  <c r="G46" i="5"/>
  <c r="D50" i="14" s="1"/>
  <c r="F46" i="5"/>
  <c r="D50" i="13" s="1"/>
  <c r="E46" i="5"/>
  <c r="D46" i="5"/>
  <c r="D50" i="12" s="1"/>
  <c r="C46" i="5"/>
  <c r="D50" i="10" s="1"/>
  <c r="G45" i="5"/>
  <c r="D49" i="14" s="1"/>
  <c r="F45" i="5"/>
  <c r="D49" i="13" s="1"/>
  <c r="E45" i="5"/>
  <c r="D49" i="11" s="1"/>
  <c r="D45" i="5"/>
  <c r="D49" i="12" s="1"/>
  <c r="C45" i="5"/>
  <c r="G44" i="5"/>
  <c r="D48" i="14" s="1"/>
  <c r="F44" i="5"/>
  <c r="D48" i="13" s="1"/>
  <c r="E44" i="5"/>
  <c r="D48" i="11" s="1"/>
  <c r="D44" i="5"/>
  <c r="D48" i="12" s="1"/>
  <c r="C44" i="5"/>
  <c r="D48" i="10" s="1"/>
  <c r="G43" i="5"/>
  <c r="D47" i="14" s="1"/>
  <c r="F43" i="5"/>
  <c r="D47" i="13" s="1"/>
  <c r="E43" i="5"/>
  <c r="D43" i="5"/>
  <c r="C43" i="5"/>
  <c r="D47" i="10" s="1"/>
  <c r="G42" i="5"/>
  <c r="D46" i="14" s="1"/>
  <c r="F42" i="5"/>
  <c r="D46" i="13" s="1"/>
  <c r="E42" i="5"/>
  <c r="D46" i="11" s="1"/>
  <c r="D42" i="5"/>
  <c r="D46" i="12" s="1"/>
  <c r="C42" i="5"/>
  <c r="D46" i="10" s="1"/>
  <c r="G41" i="5"/>
  <c r="D45" i="14" s="1"/>
  <c r="F41" i="5"/>
  <c r="D45" i="13" s="1"/>
  <c r="E41" i="5"/>
  <c r="D45" i="11" s="1"/>
  <c r="D41" i="5"/>
  <c r="D45" i="12" s="1"/>
  <c r="C41" i="5"/>
  <c r="D45" i="10" s="1"/>
  <c r="G40" i="5"/>
  <c r="D44" i="14" s="1"/>
  <c r="F40" i="5"/>
  <c r="D44" i="13" s="1"/>
  <c r="E40" i="5"/>
  <c r="D44" i="11" s="1"/>
  <c r="D40" i="5"/>
  <c r="C40" i="5"/>
  <c r="G39" i="5"/>
  <c r="D43" i="14" s="1"/>
  <c r="F39" i="5"/>
  <c r="D43" i="13" s="1"/>
  <c r="E39" i="5"/>
  <c r="D43" i="11" s="1"/>
  <c r="D39" i="5"/>
  <c r="D43" i="12" s="1"/>
  <c r="C39" i="5"/>
  <c r="D43" i="10" s="1"/>
  <c r="G38" i="5"/>
  <c r="D42" i="14" s="1"/>
  <c r="F38" i="5"/>
  <c r="D42" i="13" s="1"/>
  <c r="E38" i="5"/>
  <c r="D42" i="11" s="1"/>
  <c r="D38" i="5"/>
  <c r="D42" i="12" s="1"/>
  <c r="C38" i="5"/>
  <c r="D42" i="10" s="1"/>
  <c r="G37" i="5"/>
  <c r="D41" i="14" s="1"/>
  <c r="F37" i="5"/>
  <c r="D41" i="13" s="1"/>
  <c r="E37" i="5"/>
  <c r="D41" i="11" s="1"/>
  <c r="D37" i="5"/>
  <c r="D41" i="12" s="1"/>
  <c r="C37" i="5"/>
  <c r="G36" i="5"/>
  <c r="D40" i="14" s="1"/>
  <c r="F36" i="5"/>
  <c r="D40" i="13" s="1"/>
  <c r="E36" i="5"/>
  <c r="D40" i="11" s="1"/>
  <c r="D36" i="5"/>
  <c r="D40" i="12" s="1"/>
  <c r="C36" i="5"/>
  <c r="D40" i="10" s="1"/>
  <c r="G35" i="5"/>
  <c r="D39" i="14" s="1"/>
  <c r="F35" i="5"/>
  <c r="D39" i="13" s="1"/>
  <c r="E35" i="5"/>
  <c r="D39" i="11" s="1"/>
  <c r="D35" i="5"/>
  <c r="C35" i="5"/>
  <c r="G34" i="5"/>
  <c r="D38" i="14" s="1"/>
  <c r="F34" i="5"/>
  <c r="D38" i="13" s="1"/>
  <c r="E34" i="5"/>
  <c r="D38" i="11" s="1"/>
  <c r="D34" i="5"/>
  <c r="D38" i="12" s="1"/>
  <c r="C34" i="5"/>
  <c r="D38" i="10" s="1"/>
  <c r="G33" i="5"/>
  <c r="F33" i="5"/>
  <c r="E33" i="5"/>
  <c r="D33" i="5"/>
  <c r="D37" i="12" s="1"/>
  <c r="C33" i="5"/>
  <c r="D37" i="10" s="1"/>
  <c r="G32" i="5"/>
  <c r="D36" i="14" s="1"/>
  <c r="F32" i="5"/>
  <c r="D36" i="13" s="1"/>
  <c r="E32" i="5"/>
  <c r="D36" i="11" s="1"/>
  <c r="D32" i="5"/>
  <c r="C32" i="5"/>
  <c r="G31" i="5"/>
  <c r="D35" i="14" s="1"/>
  <c r="F31" i="5"/>
  <c r="D35" i="13" s="1"/>
  <c r="E31" i="5"/>
  <c r="D35" i="11" s="1"/>
  <c r="D31" i="5"/>
  <c r="D35" i="12" s="1"/>
  <c r="C31" i="5"/>
  <c r="D35" i="10" s="1"/>
  <c r="G30" i="5"/>
  <c r="D34" i="14" s="1"/>
  <c r="F30" i="5"/>
  <c r="D34" i="13" s="1"/>
  <c r="E30" i="5"/>
  <c r="D34" i="11" s="1"/>
  <c r="D30" i="5"/>
  <c r="D34" i="12" s="1"/>
  <c r="C30" i="5"/>
  <c r="D34" i="10" s="1"/>
  <c r="G29" i="5"/>
  <c r="D33" i="14" s="1"/>
  <c r="F29" i="5"/>
  <c r="D33" i="13" s="1"/>
  <c r="E29" i="5"/>
  <c r="D33" i="11" s="1"/>
  <c r="D29" i="5"/>
  <c r="D33" i="12" s="1"/>
  <c r="C29" i="5"/>
  <c r="G28" i="5"/>
  <c r="D32" i="14" s="1"/>
  <c r="F28" i="5"/>
  <c r="E28" i="5"/>
  <c r="D32" i="11" s="1"/>
  <c r="D28" i="5"/>
  <c r="D32" i="12" s="1"/>
  <c r="C28" i="5"/>
  <c r="D32" i="10" s="1"/>
  <c r="G27" i="5"/>
  <c r="D31" i="14" s="1"/>
  <c r="F27" i="5"/>
  <c r="D31" i="13" s="1"/>
  <c r="E27" i="5"/>
  <c r="D31" i="11" s="1"/>
  <c r="D27" i="5"/>
  <c r="C27" i="5"/>
  <c r="D31" i="10" s="1"/>
  <c r="G26" i="5"/>
  <c r="D30" i="14" s="1"/>
  <c r="F26" i="5"/>
  <c r="D30" i="13" s="1"/>
  <c r="E26" i="5"/>
  <c r="D30" i="11" s="1"/>
  <c r="D26" i="5"/>
  <c r="D30" i="12" s="1"/>
  <c r="C26" i="5"/>
  <c r="D30" i="10" s="1"/>
  <c r="G25" i="5"/>
  <c r="D29" i="14" s="1"/>
  <c r="F25" i="5"/>
  <c r="D29" i="13" s="1"/>
  <c r="E25" i="5"/>
  <c r="D29" i="11" s="1"/>
  <c r="D25" i="5"/>
  <c r="D29" i="12" s="1"/>
  <c r="C25" i="5"/>
  <c r="D29" i="10" s="1"/>
  <c r="G24" i="5"/>
  <c r="D28" i="14" s="1"/>
  <c r="F24" i="5"/>
  <c r="D28" i="13" s="1"/>
  <c r="E24" i="5"/>
  <c r="D28" i="11" s="1"/>
  <c r="D24" i="5"/>
  <c r="C24" i="5"/>
  <c r="G23" i="5"/>
  <c r="D27" i="14" s="1"/>
  <c r="F23" i="5"/>
  <c r="D27" i="13" s="1"/>
  <c r="E23" i="5"/>
  <c r="D27" i="11" s="1"/>
  <c r="D23" i="5"/>
  <c r="D27" i="12" s="1"/>
  <c r="C23" i="5"/>
  <c r="D27" i="10" s="1"/>
  <c r="G22" i="5"/>
  <c r="D26" i="14" s="1"/>
  <c r="F22" i="5"/>
  <c r="D26" i="13" s="1"/>
  <c r="E22" i="5"/>
  <c r="D22" i="5"/>
  <c r="D26" i="12" s="1"/>
  <c r="C22" i="5"/>
  <c r="D26" i="10" s="1"/>
  <c r="G21" i="5"/>
  <c r="D25" i="14" s="1"/>
  <c r="F21" i="5"/>
  <c r="D25" i="13" s="1"/>
  <c r="E21" i="5"/>
  <c r="D25" i="11" s="1"/>
  <c r="D21" i="5"/>
  <c r="D25" i="12" s="1"/>
  <c r="C21" i="5"/>
  <c r="G20" i="5"/>
  <c r="F20" i="5"/>
  <c r="E20" i="5"/>
  <c r="D24" i="11" s="1"/>
  <c r="D20" i="5"/>
  <c r="D24" i="12" s="1"/>
  <c r="C20" i="5"/>
  <c r="D24" i="10" s="1"/>
  <c r="G19" i="5"/>
  <c r="D23" i="14" s="1"/>
  <c r="F19" i="5"/>
  <c r="D23" i="13" s="1"/>
  <c r="E19" i="5"/>
  <c r="D19" i="5"/>
  <c r="C19" i="5"/>
  <c r="D23" i="10" s="1"/>
  <c r="G18" i="5"/>
  <c r="D22" i="14" s="1"/>
  <c r="F18" i="5"/>
  <c r="D22" i="13" s="1"/>
  <c r="E18" i="5"/>
  <c r="D22" i="11" s="1"/>
  <c r="D18" i="5"/>
  <c r="D22" i="12" s="1"/>
  <c r="C18" i="5"/>
  <c r="D22" i="10" s="1"/>
  <c r="G17" i="5"/>
  <c r="F17" i="5"/>
  <c r="E17" i="5"/>
  <c r="D17" i="5"/>
  <c r="D21" i="12" s="1"/>
  <c r="C17" i="5"/>
  <c r="D21" i="10" s="1"/>
  <c r="G16" i="5"/>
  <c r="D20" i="14" s="1"/>
  <c r="F16" i="5"/>
  <c r="D20" i="13" s="1"/>
  <c r="E16" i="5"/>
  <c r="D20" i="11" s="1"/>
  <c r="D16" i="5"/>
  <c r="C16" i="5"/>
  <c r="G15" i="5"/>
  <c r="D19" i="14" s="1"/>
  <c r="F15" i="5"/>
  <c r="D19" i="13" s="1"/>
  <c r="E15" i="5"/>
  <c r="D19" i="11" s="1"/>
  <c r="D15" i="5"/>
  <c r="D19" i="12" s="1"/>
  <c r="C15" i="5"/>
  <c r="D19" i="10" s="1"/>
  <c r="G14" i="5"/>
  <c r="D18" i="14" s="1"/>
  <c r="F14" i="5"/>
  <c r="E14" i="5"/>
  <c r="D14" i="5"/>
  <c r="C14" i="5"/>
  <c r="D18" i="10" s="1"/>
  <c r="G13" i="5"/>
  <c r="D17" i="14" s="1"/>
  <c r="F13" i="5"/>
  <c r="D17" i="13" s="1"/>
  <c r="E13" i="5"/>
  <c r="D17" i="11" s="1"/>
  <c r="D13" i="5"/>
  <c r="D17" i="12" s="1"/>
  <c r="C13" i="5"/>
  <c r="G12" i="5"/>
  <c r="F12" i="5"/>
  <c r="D16" i="13" s="1"/>
  <c r="E12" i="5"/>
  <c r="D16" i="11" s="1"/>
  <c r="D12" i="5"/>
  <c r="D16" i="12" s="1"/>
  <c r="C12" i="5"/>
  <c r="D16" i="10" s="1"/>
  <c r="G11" i="5"/>
  <c r="D15" i="14" s="1"/>
  <c r="F11" i="5"/>
  <c r="D15" i="13" s="1"/>
  <c r="E11" i="5"/>
  <c r="D11" i="5"/>
  <c r="C11" i="5"/>
  <c r="G10" i="5"/>
  <c r="D14" i="14" s="1"/>
  <c r="F10" i="5"/>
  <c r="D14" i="13" s="1"/>
  <c r="E10" i="5"/>
  <c r="D14" i="11" s="1"/>
  <c r="D10" i="5"/>
  <c r="D14" i="12" s="1"/>
  <c r="C10" i="5"/>
  <c r="D14" i="10" s="1"/>
  <c r="G62" i="6"/>
  <c r="F62" i="6"/>
  <c r="E62" i="6"/>
  <c r="E66" i="11" s="1"/>
  <c r="D62" i="6"/>
  <c r="E66" i="12" s="1"/>
  <c r="C62" i="6"/>
  <c r="E66" i="10" s="1"/>
  <c r="G61" i="6"/>
  <c r="E65" i="14" s="1"/>
  <c r="F61" i="6"/>
  <c r="E65" i="13" s="1"/>
  <c r="E61" i="6"/>
  <c r="E65" i="11" s="1"/>
  <c r="D61" i="6"/>
  <c r="C61" i="6"/>
  <c r="G60" i="6"/>
  <c r="F60" i="6"/>
  <c r="E64" i="13" s="1"/>
  <c r="E60" i="6"/>
  <c r="E64" i="11" s="1"/>
  <c r="D60" i="6"/>
  <c r="E64" i="12" s="1"/>
  <c r="C60" i="6"/>
  <c r="E64" i="10" s="1"/>
  <c r="G59" i="6"/>
  <c r="E63" i="14" s="1"/>
  <c r="F59" i="6"/>
  <c r="E63" i="13" s="1"/>
  <c r="E59" i="6"/>
  <c r="E63" i="11" s="1"/>
  <c r="D59" i="6"/>
  <c r="E63" i="12" s="1"/>
  <c r="C59" i="6"/>
  <c r="E63" i="10" s="1"/>
  <c r="G58" i="6"/>
  <c r="E62" i="14" s="1"/>
  <c r="F58" i="6"/>
  <c r="E62" i="13" s="1"/>
  <c r="E58" i="6"/>
  <c r="E62" i="11" s="1"/>
  <c r="D58" i="6"/>
  <c r="E62" i="12" s="1"/>
  <c r="C58" i="6"/>
  <c r="G57" i="6"/>
  <c r="F57" i="6"/>
  <c r="E61" i="13" s="1"/>
  <c r="E57" i="6"/>
  <c r="E61" i="11" s="1"/>
  <c r="D57" i="6"/>
  <c r="E61" i="12" s="1"/>
  <c r="C57" i="6"/>
  <c r="E61" i="10" s="1"/>
  <c r="G56" i="6"/>
  <c r="E60" i="14" s="1"/>
  <c r="F56" i="6"/>
  <c r="E60" i="13" s="1"/>
  <c r="E56" i="6"/>
  <c r="D56" i="6"/>
  <c r="C56" i="6"/>
  <c r="E60" i="10" s="1"/>
  <c r="G55" i="6"/>
  <c r="E59" i="14" s="1"/>
  <c r="F55" i="6"/>
  <c r="E59" i="13" s="1"/>
  <c r="E55" i="6"/>
  <c r="E59" i="11" s="1"/>
  <c r="D55" i="6"/>
  <c r="E59" i="12" s="1"/>
  <c r="C55" i="6"/>
  <c r="E59" i="10" s="1"/>
  <c r="G54" i="6"/>
  <c r="F54" i="6"/>
  <c r="E54" i="6"/>
  <c r="E58" i="11" s="1"/>
  <c r="D54" i="6"/>
  <c r="E58" i="12" s="1"/>
  <c r="C54" i="6"/>
  <c r="E58" i="10" s="1"/>
  <c r="G53" i="6"/>
  <c r="E57" i="14" s="1"/>
  <c r="F53" i="6"/>
  <c r="E57" i="13" s="1"/>
  <c r="E53" i="6"/>
  <c r="E57" i="11" s="1"/>
  <c r="D53" i="6"/>
  <c r="C53" i="6"/>
  <c r="G52" i="6"/>
  <c r="E56" i="14" s="1"/>
  <c r="F52" i="6"/>
  <c r="E56" i="13" s="1"/>
  <c r="E52" i="6"/>
  <c r="E56" i="11" s="1"/>
  <c r="D52" i="6"/>
  <c r="E56" i="12" s="1"/>
  <c r="C52" i="6"/>
  <c r="E56" i="10" s="1"/>
  <c r="G51" i="6"/>
  <c r="E55" i="14" s="1"/>
  <c r="F51" i="6"/>
  <c r="E51" i="6"/>
  <c r="D51" i="6"/>
  <c r="E55" i="12" s="1"/>
  <c r="C51" i="6"/>
  <c r="E55" i="10" s="1"/>
  <c r="G50" i="6"/>
  <c r="E54" i="14" s="1"/>
  <c r="F50" i="6"/>
  <c r="E54" i="13" s="1"/>
  <c r="E50" i="6"/>
  <c r="E54" i="11" s="1"/>
  <c r="D50" i="6"/>
  <c r="E54" i="12" s="1"/>
  <c r="C50" i="6"/>
  <c r="G49" i="6"/>
  <c r="E53" i="14" s="1"/>
  <c r="F49" i="6"/>
  <c r="E53" i="13" s="1"/>
  <c r="E49" i="6"/>
  <c r="E53" i="11" s="1"/>
  <c r="D49" i="6"/>
  <c r="E53" i="12" s="1"/>
  <c r="C49" i="6"/>
  <c r="E53" i="10" s="1"/>
  <c r="G48" i="6"/>
  <c r="E52" i="14" s="1"/>
  <c r="F48" i="6"/>
  <c r="E52" i="13" s="1"/>
  <c r="E48" i="6"/>
  <c r="D48" i="6"/>
  <c r="C48" i="6"/>
  <c r="G47" i="6"/>
  <c r="E51" i="14" s="1"/>
  <c r="F47" i="6"/>
  <c r="E51" i="13" s="1"/>
  <c r="E47" i="6"/>
  <c r="E51" i="11" s="1"/>
  <c r="D47" i="6"/>
  <c r="E51" i="12" s="1"/>
  <c r="C47" i="6"/>
  <c r="E51" i="10" s="1"/>
  <c r="G46" i="6"/>
  <c r="F46" i="6"/>
  <c r="E50" i="13" s="1"/>
  <c r="E46" i="6"/>
  <c r="E50" i="11" s="1"/>
  <c r="D46" i="6"/>
  <c r="E50" i="12" s="1"/>
  <c r="C46" i="6"/>
  <c r="E50" i="10" s="1"/>
  <c r="G45" i="6"/>
  <c r="E49" i="14" s="1"/>
  <c r="F45" i="6"/>
  <c r="E49" i="13" s="1"/>
  <c r="E45" i="6"/>
  <c r="E49" i="11" s="1"/>
  <c r="D45" i="6"/>
  <c r="C45" i="6"/>
  <c r="G44" i="6"/>
  <c r="E48" i="14" s="1"/>
  <c r="F44" i="6"/>
  <c r="E48" i="13" s="1"/>
  <c r="E44" i="6"/>
  <c r="E48" i="11" s="1"/>
  <c r="D44" i="6"/>
  <c r="E48" i="12" s="1"/>
  <c r="C44" i="6"/>
  <c r="E48" i="10" s="1"/>
  <c r="G43" i="6"/>
  <c r="E47" i="14" s="1"/>
  <c r="F43" i="6"/>
  <c r="E47" i="13" s="1"/>
  <c r="E43" i="6"/>
  <c r="D43" i="6"/>
  <c r="E47" i="12" s="1"/>
  <c r="C43" i="6"/>
  <c r="E47" i="10" s="1"/>
  <c r="G42" i="6"/>
  <c r="E46" i="14" s="1"/>
  <c r="F42" i="6"/>
  <c r="E46" i="13" s="1"/>
  <c r="E42" i="6"/>
  <c r="E46" i="11" s="1"/>
  <c r="D42" i="6"/>
  <c r="E46" i="12" s="1"/>
  <c r="C42" i="6"/>
  <c r="G41" i="6"/>
  <c r="F41" i="6"/>
  <c r="E45" i="13" s="1"/>
  <c r="E41" i="6"/>
  <c r="E45" i="11" s="1"/>
  <c r="D41" i="6"/>
  <c r="E45" i="12" s="1"/>
  <c r="C41" i="6"/>
  <c r="E45" i="10" s="1"/>
  <c r="G40" i="6"/>
  <c r="E44" i="14" s="1"/>
  <c r="F40" i="6"/>
  <c r="E44" i="13" s="1"/>
  <c r="E40" i="6"/>
  <c r="D40" i="6"/>
  <c r="C40" i="6"/>
  <c r="E44" i="10" s="1"/>
  <c r="G39" i="6"/>
  <c r="E43" i="14" s="1"/>
  <c r="F39" i="6"/>
  <c r="E43" i="13" s="1"/>
  <c r="E39" i="6"/>
  <c r="E43" i="11" s="1"/>
  <c r="D39" i="6"/>
  <c r="E43" i="12" s="1"/>
  <c r="C39" i="6"/>
  <c r="E43" i="10" s="1"/>
  <c r="G38" i="6"/>
  <c r="F38" i="6"/>
  <c r="E42" i="13" s="1"/>
  <c r="E38" i="6"/>
  <c r="E42" i="11" s="1"/>
  <c r="D38" i="6"/>
  <c r="E42" i="12" s="1"/>
  <c r="C38" i="6"/>
  <c r="E42" i="10" s="1"/>
  <c r="G37" i="6"/>
  <c r="E41" i="14" s="1"/>
  <c r="F37" i="6"/>
  <c r="E41" i="13" s="1"/>
  <c r="E37" i="6"/>
  <c r="E41" i="11" s="1"/>
  <c r="D37" i="6"/>
  <c r="C37" i="6"/>
  <c r="G36" i="6"/>
  <c r="E40" i="14" s="1"/>
  <c r="F36" i="6"/>
  <c r="E40" i="13" s="1"/>
  <c r="E36" i="6"/>
  <c r="E40" i="11" s="1"/>
  <c r="D36" i="6"/>
  <c r="E40" i="12" s="1"/>
  <c r="C36" i="6"/>
  <c r="E40" i="10" s="1"/>
  <c r="G35" i="6"/>
  <c r="E39" i="14" s="1"/>
  <c r="F35" i="6"/>
  <c r="E39" i="13" s="1"/>
  <c r="E35" i="6"/>
  <c r="D35" i="6"/>
  <c r="E39" i="12" s="1"/>
  <c r="C35" i="6"/>
  <c r="E39" i="10" s="1"/>
  <c r="G34" i="6"/>
  <c r="E38" i="14" s="1"/>
  <c r="F34" i="6"/>
  <c r="E38" i="13" s="1"/>
  <c r="E34" i="6"/>
  <c r="E38" i="11" s="1"/>
  <c r="D34" i="6"/>
  <c r="E38" i="12" s="1"/>
  <c r="C34" i="6"/>
  <c r="G33" i="6"/>
  <c r="E37" i="14" s="1"/>
  <c r="F33" i="6"/>
  <c r="E37" i="13" s="1"/>
  <c r="E33" i="6"/>
  <c r="E37" i="11" s="1"/>
  <c r="D33" i="6"/>
  <c r="E37" i="12" s="1"/>
  <c r="C33" i="6"/>
  <c r="E37" i="10" s="1"/>
  <c r="G32" i="6"/>
  <c r="E36" i="14" s="1"/>
  <c r="F32" i="6"/>
  <c r="E36" i="13" s="1"/>
  <c r="E32" i="6"/>
  <c r="E36" i="11" s="1"/>
  <c r="D32" i="6"/>
  <c r="C32" i="6"/>
  <c r="E36" i="10" s="1"/>
  <c r="G31" i="6"/>
  <c r="E35" i="14" s="1"/>
  <c r="F31" i="6"/>
  <c r="E35" i="13" s="1"/>
  <c r="E31" i="6"/>
  <c r="E35" i="11" s="1"/>
  <c r="D31" i="6"/>
  <c r="E35" i="12" s="1"/>
  <c r="C31" i="6"/>
  <c r="E35" i="10" s="1"/>
  <c r="G30" i="6"/>
  <c r="E34" i="14" s="1"/>
  <c r="F30" i="6"/>
  <c r="E34" i="13" s="1"/>
  <c r="E30" i="6"/>
  <c r="E34" i="11" s="1"/>
  <c r="D30" i="6"/>
  <c r="E34" i="12" s="1"/>
  <c r="C30" i="6"/>
  <c r="E34" i="10" s="1"/>
  <c r="G29" i="6"/>
  <c r="E33" i="14" s="1"/>
  <c r="F29" i="6"/>
  <c r="E33" i="13" s="1"/>
  <c r="E29" i="6"/>
  <c r="E33" i="11" s="1"/>
  <c r="D29" i="6"/>
  <c r="C29" i="6"/>
  <c r="G28" i="6"/>
  <c r="E32" i="14" s="1"/>
  <c r="F28" i="6"/>
  <c r="E32" i="13" s="1"/>
  <c r="E28" i="6"/>
  <c r="E32" i="11" s="1"/>
  <c r="D28" i="6"/>
  <c r="E32" i="12" s="1"/>
  <c r="C28" i="6"/>
  <c r="E32" i="10" s="1"/>
  <c r="G27" i="6"/>
  <c r="E31" i="14" s="1"/>
  <c r="F27" i="6"/>
  <c r="E31" i="13" s="1"/>
  <c r="E27" i="6"/>
  <c r="D27" i="6"/>
  <c r="E31" i="12" s="1"/>
  <c r="C27" i="6"/>
  <c r="E31" i="10" s="1"/>
  <c r="G26" i="6"/>
  <c r="E30" i="14" s="1"/>
  <c r="F26" i="6"/>
  <c r="E30" i="13" s="1"/>
  <c r="E26" i="6"/>
  <c r="E30" i="11" s="1"/>
  <c r="D26" i="6"/>
  <c r="E30" i="12" s="1"/>
  <c r="C26" i="6"/>
  <c r="G25" i="6"/>
  <c r="F25" i="6"/>
  <c r="E29" i="13" s="1"/>
  <c r="E25" i="6"/>
  <c r="E29" i="11" s="1"/>
  <c r="D25" i="6"/>
  <c r="E29" i="12" s="1"/>
  <c r="C25" i="6"/>
  <c r="E29" i="10" s="1"/>
  <c r="G24" i="6"/>
  <c r="E28" i="14" s="1"/>
  <c r="F24" i="6"/>
  <c r="E28" i="13" s="1"/>
  <c r="E24" i="6"/>
  <c r="D24" i="6"/>
  <c r="C24" i="6"/>
  <c r="E28" i="10" s="1"/>
  <c r="G23" i="6"/>
  <c r="E27" i="14" s="1"/>
  <c r="F23" i="6"/>
  <c r="E27" i="13" s="1"/>
  <c r="E23" i="6"/>
  <c r="E27" i="11" s="1"/>
  <c r="D23" i="6"/>
  <c r="E27" i="12" s="1"/>
  <c r="C23" i="6"/>
  <c r="E27" i="10" s="1"/>
  <c r="G22" i="6"/>
  <c r="F22" i="6"/>
  <c r="E26" i="13" s="1"/>
  <c r="E22" i="6"/>
  <c r="E26" i="11" s="1"/>
  <c r="D22" i="6"/>
  <c r="E26" i="12" s="1"/>
  <c r="C22" i="6"/>
  <c r="E26" i="10" s="1"/>
  <c r="G21" i="6"/>
  <c r="E25" i="14" s="1"/>
  <c r="F21" i="6"/>
  <c r="E25" i="13" s="1"/>
  <c r="E21" i="6"/>
  <c r="E25" i="11" s="1"/>
  <c r="D21" i="6"/>
  <c r="C21" i="6"/>
  <c r="G20" i="6"/>
  <c r="E24" i="14" s="1"/>
  <c r="F20" i="6"/>
  <c r="E24" i="13" s="1"/>
  <c r="E20" i="6"/>
  <c r="E24" i="11" s="1"/>
  <c r="D20" i="6"/>
  <c r="E24" i="12" s="1"/>
  <c r="C20" i="6"/>
  <c r="E24" i="10" s="1"/>
  <c r="G19" i="6"/>
  <c r="E23" i="14" s="1"/>
  <c r="F19" i="6"/>
  <c r="E23" i="13" s="1"/>
  <c r="E19" i="6"/>
  <c r="E23" i="11" s="1"/>
  <c r="D19" i="6"/>
  <c r="E23" i="12" s="1"/>
  <c r="C19" i="6"/>
  <c r="E23" i="10" s="1"/>
  <c r="G18" i="6"/>
  <c r="E22" i="14" s="1"/>
  <c r="F18" i="6"/>
  <c r="E22" i="13" s="1"/>
  <c r="E18" i="6"/>
  <c r="E22" i="11" s="1"/>
  <c r="D18" i="6"/>
  <c r="E22" i="12" s="1"/>
  <c r="C18" i="6"/>
  <c r="G17" i="6"/>
  <c r="F17" i="6"/>
  <c r="E21" i="13" s="1"/>
  <c r="E17" i="6"/>
  <c r="E21" i="11" s="1"/>
  <c r="D17" i="6"/>
  <c r="E21" i="12" s="1"/>
  <c r="C17" i="6"/>
  <c r="E21" i="10" s="1"/>
  <c r="G16" i="6"/>
  <c r="E20" i="14" s="1"/>
  <c r="F16" i="6"/>
  <c r="E20" i="13" s="1"/>
  <c r="E16" i="6"/>
  <c r="D16" i="6"/>
  <c r="C16" i="6"/>
  <c r="G15" i="6"/>
  <c r="E19" i="14" s="1"/>
  <c r="F15" i="6"/>
  <c r="E19" i="13" s="1"/>
  <c r="E15" i="6"/>
  <c r="E19" i="11" s="1"/>
  <c r="D15" i="6"/>
  <c r="E19" i="12" s="1"/>
  <c r="C15" i="6"/>
  <c r="E19" i="10" s="1"/>
  <c r="G14" i="6"/>
  <c r="F14" i="6"/>
  <c r="E18" i="13" s="1"/>
  <c r="E14" i="6"/>
  <c r="E18" i="11" s="1"/>
  <c r="D14" i="6"/>
  <c r="E18" i="12" s="1"/>
  <c r="C14" i="6"/>
  <c r="E18" i="10" s="1"/>
  <c r="G13" i="6"/>
  <c r="E17" i="14" s="1"/>
  <c r="F13" i="6"/>
  <c r="E17" i="13" s="1"/>
  <c r="E13" i="6"/>
  <c r="E17" i="11" s="1"/>
  <c r="D13" i="6"/>
  <c r="C13" i="6"/>
  <c r="G12" i="6"/>
  <c r="E16" i="14" s="1"/>
  <c r="F12" i="6"/>
  <c r="E16" i="13" s="1"/>
  <c r="E12" i="6"/>
  <c r="E16" i="11" s="1"/>
  <c r="D12" i="6"/>
  <c r="E16" i="12" s="1"/>
  <c r="C12" i="6"/>
  <c r="E16" i="10" s="1"/>
  <c r="G11" i="6"/>
  <c r="E15" i="14" s="1"/>
  <c r="F11" i="6"/>
  <c r="E15" i="13" s="1"/>
  <c r="E11" i="6"/>
  <c r="D11" i="6"/>
  <c r="E15" i="12" s="1"/>
  <c r="C11" i="6"/>
  <c r="E15" i="10" s="1"/>
  <c r="G10" i="6"/>
  <c r="E14" i="14" s="1"/>
  <c r="F10" i="6"/>
  <c r="E14" i="13" s="1"/>
  <c r="E10" i="6"/>
  <c r="E14" i="11" s="1"/>
  <c r="D10" i="6"/>
  <c r="E14" i="12" s="1"/>
  <c r="C10" i="6"/>
  <c r="G62" i="7"/>
  <c r="F66" i="14" s="1"/>
  <c r="F62" i="7"/>
  <c r="F66" i="13" s="1"/>
  <c r="E62" i="7"/>
  <c r="F66" i="11" s="1"/>
  <c r="D62" i="7"/>
  <c r="F66" i="12" s="1"/>
  <c r="C62" i="7"/>
  <c r="F66" i="10" s="1"/>
  <c r="G61" i="7"/>
  <c r="F65" i="14" s="1"/>
  <c r="F61" i="7"/>
  <c r="F65" i="13" s="1"/>
  <c r="E61" i="7"/>
  <c r="D61" i="7"/>
  <c r="C61" i="7"/>
  <c r="F65" i="10" s="1"/>
  <c r="G60" i="7"/>
  <c r="F64" i="14" s="1"/>
  <c r="F60" i="7"/>
  <c r="F64" i="13" s="1"/>
  <c r="E60" i="7"/>
  <c r="F64" i="11" s="1"/>
  <c r="D60" i="7"/>
  <c r="F64" i="12" s="1"/>
  <c r="C60" i="7"/>
  <c r="F64" i="10" s="1"/>
  <c r="G59" i="7"/>
  <c r="F63" i="14" s="1"/>
  <c r="F59" i="7"/>
  <c r="E59" i="7"/>
  <c r="F63" i="11" s="1"/>
  <c r="D59" i="7"/>
  <c r="F63" i="12" s="1"/>
  <c r="C59" i="7"/>
  <c r="F63" i="10" s="1"/>
  <c r="G58" i="7"/>
  <c r="F62" i="14" s="1"/>
  <c r="F58" i="7"/>
  <c r="F62" i="13" s="1"/>
  <c r="E58" i="7"/>
  <c r="F62" i="11" s="1"/>
  <c r="D58" i="7"/>
  <c r="C58" i="7"/>
  <c r="G57" i="7"/>
  <c r="F61" i="14" s="1"/>
  <c r="F57" i="7"/>
  <c r="F61" i="13" s="1"/>
  <c r="E57" i="7"/>
  <c r="F61" i="11" s="1"/>
  <c r="D57" i="7"/>
  <c r="F61" i="12" s="1"/>
  <c r="C57" i="7"/>
  <c r="F61" i="10" s="1"/>
  <c r="G56" i="7"/>
  <c r="F60" i="14" s="1"/>
  <c r="F56" i="7"/>
  <c r="E56" i="7"/>
  <c r="F60" i="11" s="1"/>
  <c r="D56" i="7"/>
  <c r="C56" i="7"/>
  <c r="F60" i="10" s="1"/>
  <c r="G55" i="7"/>
  <c r="F59" i="14" s="1"/>
  <c r="F55" i="7"/>
  <c r="F59" i="13" s="1"/>
  <c r="E55" i="7"/>
  <c r="F59" i="11" s="1"/>
  <c r="D55" i="7"/>
  <c r="F59" i="12" s="1"/>
  <c r="C55" i="7"/>
  <c r="G54" i="7"/>
  <c r="F58" i="14" s="1"/>
  <c r="F54" i="7"/>
  <c r="F58" i="13" s="1"/>
  <c r="E54" i="7"/>
  <c r="F58" i="11" s="1"/>
  <c r="D54" i="7"/>
  <c r="F58" i="12" s="1"/>
  <c r="C54" i="7"/>
  <c r="F58" i="10" s="1"/>
  <c r="G53" i="7"/>
  <c r="F57" i="14" s="1"/>
  <c r="F53" i="7"/>
  <c r="F57" i="13" s="1"/>
  <c r="E53" i="7"/>
  <c r="F57" i="11" s="1"/>
  <c r="D53" i="7"/>
  <c r="C53" i="7"/>
  <c r="F57" i="10" s="1"/>
  <c r="G52" i="7"/>
  <c r="F56" i="14" s="1"/>
  <c r="F52" i="7"/>
  <c r="F56" i="13" s="1"/>
  <c r="E52" i="7"/>
  <c r="F56" i="11" s="1"/>
  <c r="D52" i="7"/>
  <c r="F56" i="12" s="1"/>
  <c r="C52" i="7"/>
  <c r="F56" i="10" s="1"/>
  <c r="G51" i="7"/>
  <c r="F55" i="14" s="1"/>
  <c r="F51" i="7"/>
  <c r="E51" i="7"/>
  <c r="F55" i="11" s="1"/>
  <c r="D51" i="7"/>
  <c r="F55" i="12" s="1"/>
  <c r="C51" i="7"/>
  <c r="F55" i="10" s="1"/>
  <c r="G50" i="7"/>
  <c r="F54" i="14" s="1"/>
  <c r="F50" i="7"/>
  <c r="F54" i="13" s="1"/>
  <c r="E50" i="7"/>
  <c r="F54" i="11" s="1"/>
  <c r="D50" i="7"/>
  <c r="C50" i="7"/>
  <c r="G49" i="7"/>
  <c r="F53" i="14" s="1"/>
  <c r="F49" i="7"/>
  <c r="F53" i="13" s="1"/>
  <c r="E49" i="7"/>
  <c r="F53" i="11" s="1"/>
  <c r="D49" i="7"/>
  <c r="F53" i="12" s="1"/>
  <c r="C49" i="7"/>
  <c r="F53" i="10" s="1"/>
  <c r="G48" i="7"/>
  <c r="F52" i="14" s="1"/>
  <c r="F48" i="7"/>
  <c r="F52" i="13" s="1"/>
  <c r="E48" i="7"/>
  <c r="D48" i="7"/>
  <c r="F52" i="12" s="1"/>
  <c r="C48" i="7"/>
  <c r="F52" i="10" s="1"/>
  <c r="G47" i="7"/>
  <c r="F51" i="14" s="1"/>
  <c r="F47" i="7"/>
  <c r="F51" i="13" s="1"/>
  <c r="E47" i="7"/>
  <c r="F51" i="11" s="1"/>
  <c r="D47" i="7"/>
  <c r="F51" i="12" s="1"/>
  <c r="C47" i="7"/>
  <c r="G46" i="7"/>
  <c r="F50" i="14" s="1"/>
  <c r="F46" i="7"/>
  <c r="F50" i="13" s="1"/>
  <c r="E46" i="7"/>
  <c r="F50" i="11" s="1"/>
  <c r="D46" i="7"/>
  <c r="F50" i="12" s="1"/>
  <c r="C46" i="7"/>
  <c r="F50" i="10" s="1"/>
  <c r="G45" i="7"/>
  <c r="F49" i="14" s="1"/>
  <c r="F45" i="7"/>
  <c r="F49" i="13" s="1"/>
  <c r="E45" i="7"/>
  <c r="D45" i="7"/>
  <c r="C45" i="7"/>
  <c r="F49" i="10" s="1"/>
  <c r="G44" i="7"/>
  <c r="F48" i="14" s="1"/>
  <c r="F44" i="7"/>
  <c r="F48" i="13" s="1"/>
  <c r="E44" i="7"/>
  <c r="F48" i="11" s="1"/>
  <c r="D44" i="7"/>
  <c r="F48" i="12" s="1"/>
  <c r="C44" i="7"/>
  <c r="F48" i="10" s="1"/>
  <c r="G43" i="7"/>
  <c r="F47" i="14" s="1"/>
  <c r="F43" i="7"/>
  <c r="F47" i="13" s="1"/>
  <c r="E43" i="7"/>
  <c r="F47" i="11" s="1"/>
  <c r="D43" i="7"/>
  <c r="F47" i="12" s="1"/>
  <c r="C43" i="7"/>
  <c r="F47" i="10" s="1"/>
  <c r="G42" i="7"/>
  <c r="F46" i="14" s="1"/>
  <c r="F42" i="7"/>
  <c r="F46" i="13" s="1"/>
  <c r="E42" i="7"/>
  <c r="F46" i="11" s="1"/>
  <c r="D42" i="7"/>
  <c r="C42" i="7"/>
  <c r="G41" i="7"/>
  <c r="F45" i="14" s="1"/>
  <c r="F41" i="7"/>
  <c r="F45" i="13" s="1"/>
  <c r="E41" i="7"/>
  <c r="F45" i="11" s="1"/>
  <c r="D41" i="7"/>
  <c r="F45" i="12" s="1"/>
  <c r="C41" i="7"/>
  <c r="F45" i="10" s="1"/>
  <c r="G40" i="7"/>
  <c r="F44" i="14" s="1"/>
  <c r="F40" i="7"/>
  <c r="E40" i="7"/>
  <c r="F44" i="11" s="1"/>
  <c r="D40" i="7"/>
  <c r="F44" i="12" s="1"/>
  <c r="C40" i="7"/>
  <c r="F44" i="10" s="1"/>
  <c r="G39" i="7"/>
  <c r="F43" i="14" s="1"/>
  <c r="F39" i="7"/>
  <c r="F43" i="13" s="1"/>
  <c r="E39" i="7"/>
  <c r="F43" i="11" s="1"/>
  <c r="D39" i="7"/>
  <c r="F43" i="12" s="1"/>
  <c r="C39" i="7"/>
  <c r="G38" i="7"/>
  <c r="F38" i="7"/>
  <c r="F42" i="13" s="1"/>
  <c r="E38" i="7"/>
  <c r="F42" i="11" s="1"/>
  <c r="D38" i="7"/>
  <c r="F42" i="12" s="1"/>
  <c r="C38" i="7"/>
  <c r="F42" i="10" s="1"/>
  <c r="G37" i="7"/>
  <c r="F41" i="14" s="1"/>
  <c r="F37" i="7"/>
  <c r="F41" i="13" s="1"/>
  <c r="E37" i="7"/>
  <c r="F41" i="11" s="1"/>
  <c r="D37" i="7"/>
  <c r="C37" i="7"/>
  <c r="G36" i="7"/>
  <c r="F40" i="14" s="1"/>
  <c r="F36" i="7"/>
  <c r="F40" i="13" s="1"/>
  <c r="E36" i="7"/>
  <c r="F40" i="11" s="1"/>
  <c r="D36" i="7"/>
  <c r="F40" i="12" s="1"/>
  <c r="C36" i="7"/>
  <c r="F40" i="10" s="1"/>
  <c r="G35" i="7"/>
  <c r="F35" i="7"/>
  <c r="F39" i="13" s="1"/>
  <c r="E35" i="7"/>
  <c r="F39" i="11" s="1"/>
  <c r="D35" i="7"/>
  <c r="F39" i="12" s="1"/>
  <c r="C35" i="7"/>
  <c r="F39" i="10" s="1"/>
  <c r="G34" i="7"/>
  <c r="F38" i="14" s="1"/>
  <c r="F34" i="7"/>
  <c r="F38" i="13" s="1"/>
  <c r="E34" i="7"/>
  <c r="F38" i="11" s="1"/>
  <c r="D34" i="7"/>
  <c r="C34" i="7"/>
  <c r="G33" i="7"/>
  <c r="F37" i="14" s="1"/>
  <c r="F33" i="7"/>
  <c r="F37" i="13" s="1"/>
  <c r="E33" i="7"/>
  <c r="F37" i="11" s="1"/>
  <c r="D33" i="7"/>
  <c r="F37" i="12" s="1"/>
  <c r="C33" i="7"/>
  <c r="F37" i="10" s="1"/>
  <c r="G32" i="7"/>
  <c r="F36" i="14" s="1"/>
  <c r="F32" i="7"/>
  <c r="F36" i="13" s="1"/>
  <c r="E32" i="7"/>
  <c r="D32" i="7"/>
  <c r="F36" i="12" s="1"/>
  <c r="C32" i="7"/>
  <c r="F36" i="10" s="1"/>
  <c r="G31" i="7"/>
  <c r="F35" i="14" s="1"/>
  <c r="F31" i="7"/>
  <c r="F35" i="13" s="1"/>
  <c r="E31" i="7"/>
  <c r="F35" i="11" s="1"/>
  <c r="D31" i="7"/>
  <c r="F35" i="12" s="1"/>
  <c r="C31" i="7"/>
  <c r="G30" i="7"/>
  <c r="F30" i="7"/>
  <c r="F34" i="13" s="1"/>
  <c r="E30" i="7"/>
  <c r="F34" i="11" s="1"/>
  <c r="D30" i="7"/>
  <c r="F34" i="12" s="1"/>
  <c r="C30" i="7"/>
  <c r="F34" i="10" s="1"/>
  <c r="G29" i="7"/>
  <c r="F33" i="14" s="1"/>
  <c r="F29" i="7"/>
  <c r="F33" i="13" s="1"/>
  <c r="E29" i="7"/>
  <c r="F33" i="11" s="1"/>
  <c r="D29" i="7"/>
  <c r="C29" i="7"/>
  <c r="F33" i="10" s="1"/>
  <c r="G28" i="7"/>
  <c r="F32" i="14" s="1"/>
  <c r="F28" i="7"/>
  <c r="F32" i="13" s="1"/>
  <c r="E28" i="7"/>
  <c r="F32" i="11" s="1"/>
  <c r="D28" i="7"/>
  <c r="F32" i="12" s="1"/>
  <c r="C28" i="7"/>
  <c r="F32" i="10" s="1"/>
  <c r="G27" i="7"/>
  <c r="F27" i="7"/>
  <c r="E27" i="7"/>
  <c r="F31" i="11" s="1"/>
  <c r="D27" i="7"/>
  <c r="F31" i="12" s="1"/>
  <c r="C27" i="7"/>
  <c r="F31" i="10" s="1"/>
  <c r="G26" i="7"/>
  <c r="F30" i="14" s="1"/>
  <c r="F26" i="7"/>
  <c r="F30" i="13" s="1"/>
  <c r="E26" i="7"/>
  <c r="F30" i="11" s="1"/>
  <c r="D26" i="7"/>
  <c r="F30" i="12" s="1"/>
  <c r="C26" i="7"/>
  <c r="G25" i="7"/>
  <c r="F29" i="14" s="1"/>
  <c r="F25" i="7"/>
  <c r="F29" i="13" s="1"/>
  <c r="E25" i="7"/>
  <c r="F29" i="11" s="1"/>
  <c r="D25" i="7"/>
  <c r="F29" i="12" s="1"/>
  <c r="C25" i="7"/>
  <c r="F29" i="10" s="1"/>
  <c r="G24" i="7"/>
  <c r="F28" i="14" s="1"/>
  <c r="F24" i="7"/>
  <c r="E24" i="7"/>
  <c r="F28" i="11" s="1"/>
  <c r="D24" i="7"/>
  <c r="F28" i="12" s="1"/>
  <c r="C24" i="7"/>
  <c r="F28" i="10" s="1"/>
  <c r="G23" i="7"/>
  <c r="F27" i="14" s="1"/>
  <c r="F23" i="7"/>
  <c r="F27" i="13" s="1"/>
  <c r="E23" i="7"/>
  <c r="F27" i="11" s="1"/>
  <c r="D23" i="7"/>
  <c r="F27" i="12" s="1"/>
  <c r="C23" i="7"/>
  <c r="G22" i="7"/>
  <c r="F26" i="14" s="1"/>
  <c r="F22" i="7"/>
  <c r="E22" i="7"/>
  <c r="F26" i="11" s="1"/>
  <c r="D22" i="7"/>
  <c r="F26" i="12" s="1"/>
  <c r="C22" i="7"/>
  <c r="F26" i="10" s="1"/>
  <c r="G21" i="7"/>
  <c r="F25" i="14" s="1"/>
  <c r="F21" i="7"/>
  <c r="F25" i="13" s="1"/>
  <c r="E21" i="7"/>
  <c r="F25" i="11" s="1"/>
  <c r="D21" i="7"/>
  <c r="C21" i="7"/>
  <c r="G20" i="7"/>
  <c r="F24" i="14" s="1"/>
  <c r="F20" i="7"/>
  <c r="F24" i="13" s="1"/>
  <c r="E20" i="7"/>
  <c r="F24" i="11" s="1"/>
  <c r="D20" i="7"/>
  <c r="F24" i="12" s="1"/>
  <c r="C20" i="7"/>
  <c r="F24" i="10" s="1"/>
  <c r="G19" i="7"/>
  <c r="F19" i="7"/>
  <c r="F23" i="13" s="1"/>
  <c r="E19" i="7"/>
  <c r="F23" i="11" s="1"/>
  <c r="D19" i="7"/>
  <c r="F23" i="12" s="1"/>
  <c r="C19" i="7"/>
  <c r="F23" i="10" s="1"/>
  <c r="G18" i="7"/>
  <c r="F22" i="14" s="1"/>
  <c r="F18" i="7"/>
  <c r="F22" i="13" s="1"/>
  <c r="E18" i="7"/>
  <c r="F22" i="11" s="1"/>
  <c r="D18" i="7"/>
  <c r="F22" i="12" s="1"/>
  <c r="C18" i="7"/>
  <c r="G17" i="7"/>
  <c r="F21" i="14" s="1"/>
  <c r="F17" i="7"/>
  <c r="F21" i="13" s="1"/>
  <c r="E17" i="7"/>
  <c r="F21" i="11" s="1"/>
  <c r="D17" i="7"/>
  <c r="F21" i="12" s="1"/>
  <c r="C17" i="7"/>
  <c r="F21" i="10" s="1"/>
  <c r="G16" i="7"/>
  <c r="F20" i="14" s="1"/>
  <c r="F16" i="7"/>
  <c r="F20" i="13" s="1"/>
  <c r="E16" i="7"/>
  <c r="D16" i="7"/>
  <c r="C16" i="7"/>
  <c r="F20" i="10" s="1"/>
  <c r="G15" i="7"/>
  <c r="F19" i="14" s="1"/>
  <c r="F15" i="7"/>
  <c r="F19" i="13" s="1"/>
  <c r="E15" i="7"/>
  <c r="F19" i="11" s="1"/>
  <c r="D15" i="7"/>
  <c r="F19" i="12" s="1"/>
  <c r="C15" i="7"/>
  <c r="G14" i="7"/>
  <c r="F14" i="7"/>
  <c r="F18" i="13" s="1"/>
  <c r="E14" i="7"/>
  <c r="F18" i="11" s="1"/>
  <c r="D14" i="7"/>
  <c r="F18" i="12" s="1"/>
  <c r="C14" i="7"/>
  <c r="F18" i="10" s="1"/>
  <c r="G13" i="7"/>
  <c r="F17" i="14" s="1"/>
  <c r="F13" i="7"/>
  <c r="F17" i="13" s="1"/>
  <c r="E13" i="7"/>
  <c r="D13" i="7"/>
  <c r="C13" i="7"/>
  <c r="F17" i="10" s="1"/>
  <c r="G12" i="7"/>
  <c r="F16" i="14" s="1"/>
  <c r="F12" i="7"/>
  <c r="F16" i="13" s="1"/>
  <c r="E12" i="7"/>
  <c r="F16" i="11" s="1"/>
  <c r="D12" i="7"/>
  <c r="F16" i="12" s="1"/>
  <c r="C12" i="7"/>
  <c r="F16" i="10" s="1"/>
  <c r="G11" i="7"/>
  <c r="F11" i="7"/>
  <c r="E11" i="7"/>
  <c r="F15" i="11" s="1"/>
  <c r="D11" i="7"/>
  <c r="F15" i="12" s="1"/>
  <c r="C11" i="7"/>
  <c r="F15" i="10" s="1"/>
  <c r="G10" i="7"/>
  <c r="F14" i="14" s="1"/>
  <c r="F10" i="7"/>
  <c r="F14" i="13" s="1"/>
  <c r="E10" i="7"/>
  <c r="F14" i="11" s="1"/>
  <c r="D10" i="7"/>
  <c r="C10" i="7"/>
  <c r="G62" i="8"/>
  <c r="G66" i="14" s="1"/>
  <c r="F62" i="8"/>
  <c r="G66" i="13" s="1"/>
  <c r="E62" i="8"/>
  <c r="G66" i="11" s="1"/>
  <c r="D62" i="8"/>
  <c r="G66" i="12" s="1"/>
  <c r="C62" i="8"/>
  <c r="G66" i="10" s="1"/>
  <c r="G61" i="8"/>
  <c r="G65" i="14" s="1"/>
  <c r="F61" i="8"/>
  <c r="G65" i="13" s="1"/>
  <c r="E61" i="8"/>
  <c r="G65" i="11" s="1"/>
  <c r="D61" i="8"/>
  <c r="G65" i="12" s="1"/>
  <c r="C61" i="8"/>
  <c r="G65" i="10" s="1"/>
  <c r="G60" i="8"/>
  <c r="G64" i="14" s="1"/>
  <c r="F60" i="8"/>
  <c r="G64" i="13" s="1"/>
  <c r="E60" i="8"/>
  <c r="G64" i="11" s="1"/>
  <c r="D60" i="8"/>
  <c r="G64" i="12" s="1"/>
  <c r="C60" i="8"/>
  <c r="G59" i="8"/>
  <c r="G63" i="14" s="1"/>
  <c r="F59" i="8"/>
  <c r="G63" i="13" s="1"/>
  <c r="E59" i="8"/>
  <c r="G63" i="11" s="1"/>
  <c r="D59" i="8"/>
  <c r="G63" i="12" s="1"/>
  <c r="C59" i="8"/>
  <c r="G63" i="10" s="1"/>
  <c r="G58" i="8"/>
  <c r="G62" i="14" s="1"/>
  <c r="F58" i="8"/>
  <c r="G62" i="13" s="1"/>
  <c r="E58" i="8"/>
  <c r="D58" i="8"/>
  <c r="C58" i="8"/>
  <c r="G62" i="10" s="1"/>
  <c r="G57" i="8"/>
  <c r="G61" i="14" s="1"/>
  <c r="F57" i="8"/>
  <c r="G61" i="13" s="1"/>
  <c r="E57" i="8"/>
  <c r="G61" i="11" s="1"/>
  <c r="D57" i="8"/>
  <c r="G61" i="12" s="1"/>
  <c r="C57" i="8"/>
  <c r="G61" i="10" s="1"/>
  <c r="G56" i="8"/>
  <c r="G60" i="14" s="1"/>
  <c r="F56" i="8"/>
  <c r="E56" i="8"/>
  <c r="G60" i="11" s="1"/>
  <c r="D56" i="8"/>
  <c r="G60" i="12" s="1"/>
  <c r="C56" i="8"/>
  <c r="G60" i="10" s="1"/>
  <c r="G55" i="8"/>
  <c r="G59" i="14" s="1"/>
  <c r="F55" i="8"/>
  <c r="G59" i="13" s="1"/>
  <c r="E55" i="8"/>
  <c r="G59" i="11" s="1"/>
  <c r="D55" i="8"/>
  <c r="C55" i="8"/>
  <c r="G54" i="8"/>
  <c r="G58" i="14" s="1"/>
  <c r="F54" i="8"/>
  <c r="G58" i="13" s="1"/>
  <c r="E54" i="8"/>
  <c r="G58" i="11" s="1"/>
  <c r="D54" i="8"/>
  <c r="G58" i="12" s="1"/>
  <c r="C54" i="8"/>
  <c r="G58" i="10" s="1"/>
  <c r="G53" i="8"/>
  <c r="G57" i="14" s="1"/>
  <c r="F53" i="8"/>
  <c r="G57" i="13" s="1"/>
  <c r="E53" i="8"/>
  <c r="G57" i="11" s="1"/>
  <c r="D53" i="8"/>
  <c r="C53" i="8"/>
  <c r="G57" i="10" s="1"/>
  <c r="G52" i="8"/>
  <c r="G56" i="14" s="1"/>
  <c r="F52" i="8"/>
  <c r="G56" i="13" s="1"/>
  <c r="E52" i="8"/>
  <c r="G56" i="11" s="1"/>
  <c r="D52" i="8"/>
  <c r="G56" i="12" s="1"/>
  <c r="C52" i="8"/>
  <c r="G51" i="8"/>
  <c r="G55" i="14" s="1"/>
  <c r="F51" i="8"/>
  <c r="G55" i="13" s="1"/>
  <c r="E51" i="8"/>
  <c r="G55" i="11" s="1"/>
  <c r="D51" i="8"/>
  <c r="G55" i="12" s="1"/>
  <c r="C51" i="8"/>
  <c r="G55" i="10" s="1"/>
  <c r="G50" i="8"/>
  <c r="G54" i="14" s="1"/>
  <c r="F50" i="8"/>
  <c r="G54" i="13" s="1"/>
  <c r="E50" i="8"/>
  <c r="G54" i="11" s="1"/>
  <c r="D50" i="8"/>
  <c r="C50" i="8"/>
  <c r="G54" i="10" s="1"/>
  <c r="G49" i="8"/>
  <c r="G53" i="14" s="1"/>
  <c r="F49" i="8"/>
  <c r="G53" i="13" s="1"/>
  <c r="E49" i="8"/>
  <c r="G53" i="11" s="1"/>
  <c r="D49" i="8"/>
  <c r="G53" i="12" s="1"/>
  <c r="C49" i="8"/>
  <c r="G53" i="10" s="1"/>
  <c r="G48" i="8"/>
  <c r="F48" i="8"/>
  <c r="G52" i="13" s="1"/>
  <c r="E48" i="8"/>
  <c r="G52" i="11" s="1"/>
  <c r="D48" i="8"/>
  <c r="G52" i="12" s="1"/>
  <c r="C48" i="8"/>
  <c r="G52" i="10" s="1"/>
  <c r="G47" i="8"/>
  <c r="G51" i="14" s="1"/>
  <c r="F47" i="8"/>
  <c r="G51" i="13" s="1"/>
  <c r="E47" i="8"/>
  <c r="G51" i="11" s="1"/>
  <c r="D47" i="8"/>
  <c r="C47" i="8"/>
  <c r="G46" i="8"/>
  <c r="G50" i="14" s="1"/>
  <c r="F46" i="8"/>
  <c r="G50" i="13" s="1"/>
  <c r="E46" i="8"/>
  <c r="G50" i="11" s="1"/>
  <c r="D46" i="8"/>
  <c r="G50" i="12" s="1"/>
  <c r="C46" i="8"/>
  <c r="G50" i="10" s="1"/>
  <c r="G45" i="8"/>
  <c r="G49" i="14" s="1"/>
  <c r="F45" i="8"/>
  <c r="G49" i="13" s="1"/>
  <c r="E45" i="8"/>
  <c r="D45" i="8"/>
  <c r="C45" i="8"/>
  <c r="G49" i="10" s="1"/>
  <c r="G44" i="8"/>
  <c r="G48" i="14" s="1"/>
  <c r="F44" i="8"/>
  <c r="G48" i="13" s="1"/>
  <c r="E44" i="8"/>
  <c r="G48" i="11" s="1"/>
  <c r="D44" i="8"/>
  <c r="G48" i="12" s="1"/>
  <c r="C44" i="8"/>
  <c r="G43" i="8"/>
  <c r="F43" i="8"/>
  <c r="G47" i="13" s="1"/>
  <c r="E43" i="8"/>
  <c r="G47" i="11" s="1"/>
  <c r="D43" i="8"/>
  <c r="G47" i="12" s="1"/>
  <c r="C43" i="8"/>
  <c r="G47" i="10" s="1"/>
  <c r="G42" i="8"/>
  <c r="G46" i="14" s="1"/>
  <c r="F42" i="8"/>
  <c r="G46" i="13" s="1"/>
  <c r="E42" i="8"/>
  <c r="G46" i="11" s="1"/>
  <c r="D42" i="8"/>
  <c r="C42" i="8"/>
  <c r="G46" i="10" s="1"/>
  <c r="G41" i="8"/>
  <c r="G45" i="14" s="1"/>
  <c r="F41" i="8"/>
  <c r="G45" i="13" s="1"/>
  <c r="E41" i="8"/>
  <c r="G45" i="11" s="1"/>
  <c r="D41" i="8"/>
  <c r="G45" i="12" s="1"/>
  <c r="C41" i="8"/>
  <c r="G45" i="10" s="1"/>
  <c r="G40" i="8"/>
  <c r="G44" i="14" s="1"/>
  <c r="F40" i="8"/>
  <c r="G44" i="13" s="1"/>
  <c r="E40" i="8"/>
  <c r="G44" i="11" s="1"/>
  <c r="D40" i="8"/>
  <c r="G44" i="12" s="1"/>
  <c r="C40" i="8"/>
  <c r="G44" i="10" s="1"/>
  <c r="G39" i="8"/>
  <c r="G43" i="14" s="1"/>
  <c r="F39" i="8"/>
  <c r="G43" i="13" s="1"/>
  <c r="E39" i="8"/>
  <c r="G43" i="11" s="1"/>
  <c r="D39" i="8"/>
  <c r="C39" i="8"/>
  <c r="G38" i="8"/>
  <c r="G42" i="14" s="1"/>
  <c r="F38" i="8"/>
  <c r="G42" i="13" s="1"/>
  <c r="E38" i="8"/>
  <c r="G42" i="11" s="1"/>
  <c r="D38" i="8"/>
  <c r="G42" i="12" s="1"/>
  <c r="C38" i="8"/>
  <c r="G42" i="10" s="1"/>
  <c r="G37" i="8"/>
  <c r="G41" i="14" s="1"/>
  <c r="F37" i="8"/>
  <c r="E37" i="8"/>
  <c r="D37" i="8"/>
  <c r="G41" i="12" s="1"/>
  <c r="C37" i="8"/>
  <c r="G41" i="10" s="1"/>
  <c r="G36" i="8"/>
  <c r="G40" i="14" s="1"/>
  <c r="F36" i="8"/>
  <c r="G40" i="13" s="1"/>
  <c r="E36" i="8"/>
  <c r="G40" i="11" s="1"/>
  <c r="D36" i="8"/>
  <c r="G40" i="12" s="1"/>
  <c r="C36" i="8"/>
  <c r="G35" i="8"/>
  <c r="F35" i="8"/>
  <c r="G39" i="13" s="1"/>
  <c r="E35" i="8"/>
  <c r="G39" i="11" s="1"/>
  <c r="D35" i="8"/>
  <c r="G39" i="12" s="1"/>
  <c r="C35" i="8"/>
  <c r="G39" i="10" s="1"/>
  <c r="G34" i="8"/>
  <c r="G38" i="14" s="1"/>
  <c r="F34" i="8"/>
  <c r="G38" i="13" s="1"/>
  <c r="E34" i="8"/>
  <c r="D34" i="8"/>
  <c r="C34" i="8"/>
  <c r="G33" i="8"/>
  <c r="G37" i="14" s="1"/>
  <c r="F33" i="8"/>
  <c r="G37" i="13" s="1"/>
  <c r="E33" i="8"/>
  <c r="G37" i="11" s="1"/>
  <c r="D33" i="8"/>
  <c r="G37" i="12" s="1"/>
  <c r="C33" i="8"/>
  <c r="G37" i="10" s="1"/>
  <c r="G32" i="8"/>
  <c r="F32" i="8"/>
  <c r="G36" i="13" s="1"/>
  <c r="E32" i="8"/>
  <c r="G36" i="11" s="1"/>
  <c r="D32" i="8"/>
  <c r="G36" i="12" s="1"/>
  <c r="C32" i="8"/>
  <c r="G36" i="10" s="1"/>
  <c r="G31" i="8"/>
  <c r="G35" i="14" s="1"/>
  <c r="F31" i="8"/>
  <c r="G35" i="13" s="1"/>
  <c r="E31" i="8"/>
  <c r="G35" i="11" s="1"/>
  <c r="D31" i="8"/>
  <c r="C31" i="8"/>
  <c r="G30" i="8"/>
  <c r="G34" i="14" s="1"/>
  <c r="F30" i="8"/>
  <c r="G34" i="13" s="1"/>
  <c r="E30" i="8"/>
  <c r="G34" i="11" s="1"/>
  <c r="D30" i="8"/>
  <c r="G34" i="12" s="1"/>
  <c r="C30" i="8"/>
  <c r="G34" i="10" s="1"/>
  <c r="G29" i="8"/>
  <c r="G33" i="14" s="1"/>
  <c r="F29" i="8"/>
  <c r="G33" i="13" s="1"/>
  <c r="E29" i="8"/>
  <c r="D29" i="8"/>
  <c r="G33" i="12" s="1"/>
  <c r="C29" i="8"/>
  <c r="G33" i="10" s="1"/>
  <c r="G28" i="8"/>
  <c r="G32" i="14" s="1"/>
  <c r="F28" i="8"/>
  <c r="G32" i="13" s="1"/>
  <c r="E28" i="8"/>
  <c r="G32" i="11" s="1"/>
  <c r="D28" i="8"/>
  <c r="G32" i="12" s="1"/>
  <c r="C28" i="8"/>
  <c r="G32" i="10" s="1"/>
  <c r="G27" i="8"/>
  <c r="F27" i="8"/>
  <c r="G31" i="13" s="1"/>
  <c r="E27" i="8"/>
  <c r="G31" i="11" s="1"/>
  <c r="D27" i="8"/>
  <c r="G31" i="12" s="1"/>
  <c r="C27" i="8"/>
  <c r="G31" i="10" s="1"/>
  <c r="G26" i="8"/>
  <c r="G30" i="14" s="1"/>
  <c r="F26" i="8"/>
  <c r="G30" i="13" s="1"/>
  <c r="E26" i="8"/>
  <c r="D26" i="8"/>
  <c r="C26" i="8"/>
  <c r="G30" i="10" s="1"/>
  <c r="G25" i="8"/>
  <c r="G29" i="14" s="1"/>
  <c r="F25" i="8"/>
  <c r="G29" i="13" s="1"/>
  <c r="E25" i="8"/>
  <c r="G29" i="11" s="1"/>
  <c r="D25" i="8"/>
  <c r="C25" i="8"/>
  <c r="G29" i="10" s="1"/>
  <c r="G24" i="8"/>
  <c r="G28" i="14" s="1"/>
  <c r="F24" i="8"/>
  <c r="G28" i="13" s="1"/>
  <c r="E24" i="8"/>
  <c r="G28" i="11" s="1"/>
  <c r="D24" i="8"/>
  <c r="G28" i="12" s="1"/>
  <c r="C24" i="8"/>
  <c r="G28" i="10" s="1"/>
  <c r="G23" i="8"/>
  <c r="G27" i="14" s="1"/>
  <c r="F23" i="8"/>
  <c r="G27" i="13" s="1"/>
  <c r="E23" i="8"/>
  <c r="G27" i="11" s="1"/>
  <c r="D23" i="8"/>
  <c r="C23" i="8"/>
  <c r="G22" i="8"/>
  <c r="G26" i="14" s="1"/>
  <c r="F22" i="8"/>
  <c r="G26" i="13" s="1"/>
  <c r="E22" i="8"/>
  <c r="G26" i="11" s="1"/>
  <c r="D22" i="8"/>
  <c r="G26" i="12" s="1"/>
  <c r="C22" i="8"/>
  <c r="G26" i="10" s="1"/>
  <c r="G21" i="8"/>
  <c r="G25" i="14" s="1"/>
  <c r="F21" i="8"/>
  <c r="G25" i="13" s="1"/>
  <c r="E21" i="8"/>
  <c r="D21" i="8"/>
  <c r="G25" i="12" s="1"/>
  <c r="C21" i="8"/>
  <c r="G25" i="10" s="1"/>
  <c r="G20" i="8"/>
  <c r="G24" i="14" s="1"/>
  <c r="F20" i="8"/>
  <c r="G24" i="13" s="1"/>
  <c r="E20" i="8"/>
  <c r="G24" i="11" s="1"/>
  <c r="D20" i="8"/>
  <c r="G24" i="12" s="1"/>
  <c r="C20" i="8"/>
  <c r="G19" i="8"/>
  <c r="G23" i="14" s="1"/>
  <c r="F19" i="8"/>
  <c r="G23" i="13" s="1"/>
  <c r="E19" i="8"/>
  <c r="G23" i="11" s="1"/>
  <c r="D19" i="8"/>
  <c r="G23" i="12" s="1"/>
  <c r="C19" i="8"/>
  <c r="G23" i="10" s="1"/>
  <c r="G18" i="8"/>
  <c r="G22" i="14" s="1"/>
  <c r="F18" i="8"/>
  <c r="G22" i="13" s="1"/>
  <c r="E18" i="8"/>
  <c r="D18" i="8"/>
  <c r="C18" i="8"/>
  <c r="G22" i="10" s="1"/>
  <c r="G17" i="8"/>
  <c r="G21" i="14" s="1"/>
  <c r="F17" i="8"/>
  <c r="G21" i="13" s="1"/>
  <c r="E17" i="8"/>
  <c r="G21" i="11" s="1"/>
  <c r="D17" i="8"/>
  <c r="G21" i="12" s="1"/>
  <c r="C17" i="8"/>
  <c r="G21" i="10" s="1"/>
  <c r="G16" i="8"/>
  <c r="G20" i="14" s="1"/>
  <c r="F16" i="8"/>
  <c r="G20" i="13" s="1"/>
  <c r="E16" i="8"/>
  <c r="G20" i="11" s="1"/>
  <c r="D16" i="8"/>
  <c r="G20" i="12" s="1"/>
  <c r="C16" i="8"/>
  <c r="G20" i="10" s="1"/>
  <c r="G15" i="8"/>
  <c r="G19" i="14" s="1"/>
  <c r="F15" i="8"/>
  <c r="G19" i="13" s="1"/>
  <c r="E15" i="8"/>
  <c r="G19" i="11" s="1"/>
  <c r="D15" i="8"/>
  <c r="C15" i="8"/>
  <c r="G14" i="8"/>
  <c r="G18" i="14" s="1"/>
  <c r="F14" i="8"/>
  <c r="G18" i="13" s="1"/>
  <c r="E14" i="8"/>
  <c r="G18" i="11" s="1"/>
  <c r="D14" i="8"/>
  <c r="G18" i="12" s="1"/>
  <c r="C14" i="8"/>
  <c r="G18" i="10" s="1"/>
  <c r="G13" i="8"/>
  <c r="G17" i="14" s="1"/>
  <c r="F13" i="8"/>
  <c r="E13" i="8"/>
  <c r="D13" i="8"/>
  <c r="C13" i="8"/>
  <c r="G17" i="10" s="1"/>
  <c r="G12" i="8"/>
  <c r="G16" i="14" s="1"/>
  <c r="F12" i="8"/>
  <c r="G16" i="13" s="1"/>
  <c r="E12" i="8"/>
  <c r="G16" i="11" s="1"/>
  <c r="D12" i="8"/>
  <c r="G16" i="12" s="1"/>
  <c r="C12" i="8"/>
  <c r="G11" i="8"/>
  <c r="G15" i="14" s="1"/>
  <c r="F11" i="8"/>
  <c r="G15" i="13" s="1"/>
  <c r="E11" i="8"/>
  <c r="G15" i="11" s="1"/>
  <c r="D11" i="8"/>
  <c r="G15" i="12" s="1"/>
  <c r="C11" i="8"/>
  <c r="G15" i="10" s="1"/>
  <c r="G10" i="8"/>
  <c r="F10" i="8"/>
  <c r="G14" i="13" s="1"/>
  <c r="E10" i="8"/>
  <c r="D10" i="8"/>
  <c r="G14" i="12" s="1"/>
  <c r="C10" i="8"/>
  <c r="G14" i="10" s="1"/>
  <c r="G62" i="9"/>
  <c r="H66" i="14" s="1"/>
  <c r="F62" i="9"/>
  <c r="H66" i="13" s="1"/>
  <c r="E62" i="9"/>
  <c r="H66" i="11" s="1"/>
  <c r="D62" i="9"/>
  <c r="H66" i="12" s="1"/>
  <c r="C62" i="9"/>
  <c r="H66" i="10" s="1"/>
  <c r="G61" i="9"/>
  <c r="F61" i="9"/>
  <c r="H65" i="13" s="1"/>
  <c r="E61" i="9"/>
  <c r="H65" i="11" s="1"/>
  <c r="D61" i="9"/>
  <c r="H65" i="12" s="1"/>
  <c r="C61" i="9"/>
  <c r="H65" i="10" s="1"/>
  <c r="G60" i="9"/>
  <c r="H64" i="14" s="1"/>
  <c r="F60" i="9"/>
  <c r="H64" i="13" s="1"/>
  <c r="E60" i="9"/>
  <c r="H64" i="11" s="1"/>
  <c r="D60" i="9"/>
  <c r="C60" i="9"/>
  <c r="H64" i="10" s="1"/>
  <c r="G59" i="9"/>
  <c r="H63" i="14" s="1"/>
  <c r="F59" i="9"/>
  <c r="H63" i="13" s="1"/>
  <c r="E59" i="9"/>
  <c r="H63" i="11" s="1"/>
  <c r="D59" i="9"/>
  <c r="H63" i="12" s="1"/>
  <c r="C59" i="9"/>
  <c r="H63" i="10" s="1"/>
  <c r="G58" i="9"/>
  <c r="H62" i="14" s="1"/>
  <c r="F58" i="9"/>
  <c r="E58" i="9"/>
  <c r="H62" i="11" s="1"/>
  <c r="D58" i="9"/>
  <c r="H62" i="12" s="1"/>
  <c r="C58" i="9"/>
  <c r="H62" i="10" s="1"/>
  <c r="G57" i="9"/>
  <c r="H61" i="14" s="1"/>
  <c r="F57" i="9"/>
  <c r="H61" i="13" s="1"/>
  <c r="E57" i="9"/>
  <c r="H61" i="11" s="1"/>
  <c r="D57" i="9"/>
  <c r="H61" i="12" s="1"/>
  <c r="C57" i="9"/>
  <c r="G56" i="9"/>
  <c r="H60" i="14" s="1"/>
  <c r="F56" i="9"/>
  <c r="H60" i="13" s="1"/>
  <c r="E56" i="9"/>
  <c r="H60" i="11" s="1"/>
  <c r="D56" i="9"/>
  <c r="H60" i="12" s="1"/>
  <c r="C56" i="9"/>
  <c r="H60" i="10" s="1"/>
  <c r="G55" i="9"/>
  <c r="H59" i="14" s="1"/>
  <c r="F55" i="9"/>
  <c r="H59" i="13" s="1"/>
  <c r="E55" i="9"/>
  <c r="H59" i="11" s="1"/>
  <c r="D55" i="9"/>
  <c r="H59" i="12" s="1"/>
  <c r="C55" i="9"/>
  <c r="H59" i="10" s="1"/>
  <c r="G54" i="9"/>
  <c r="H58" i="14" s="1"/>
  <c r="F54" i="9"/>
  <c r="H58" i="13" s="1"/>
  <c r="E54" i="9"/>
  <c r="H58" i="11" s="1"/>
  <c r="D54" i="9"/>
  <c r="H58" i="12" s="1"/>
  <c r="C54" i="9"/>
  <c r="H58" i="10" s="1"/>
  <c r="G53" i="9"/>
  <c r="H57" i="14" s="1"/>
  <c r="F53" i="9"/>
  <c r="H57" i="13" s="1"/>
  <c r="E53" i="9"/>
  <c r="H57" i="11" s="1"/>
  <c r="D53" i="9"/>
  <c r="H57" i="12" s="1"/>
  <c r="C53" i="9"/>
  <c r="H57" i="10" s="1"/>
  <c r="G52" i="9"/>
  <c r="H56" i="14" s="1"/>
  <c r="F52" i="9"/>
  <c r="H56" i="13" s="1"/>
  <c r="E52" i="9"/>
  <c r="H56" i="11" s="1"/>
  <c r="D52" i="9"/>
  <c r="C52" i="9"/>
  <c r="G51" i="9"/>
  <c r="H55" i="14" s="1"/>
  <c r="F51" i="9"/>
  <c r="H55" i="13" s="1"/>
  <c r="E51" i="9"/>
  <c r="H55" i="11" s="1"/>
  <c r="D51" i="9"/>
  <c r="H55" i="12" s="1"/>
  <c r="C51" i="9"/>
  <c r="H55" i="10" s="1"/>
  <c r="G50" i="9"/>
  <c r="H54" i="14" s="1"/>
  <c r="F50" i="9"/>
  <c r="H54" i="13" s="1"/>
  <c r="E50" i="9"/>
  <c r="H54" i="11" s="1"/>
  <c r="D50" i="9"/>
  <c r="C50" i="9"/>
  <c r="H54" i="10" s="1"/>
  <c r="G49" i="9"/>
  <c r="H53" i="14" s="1"/>
  <c r="F49" i="9"/>
  <c r="H53" i="13" s="1"/>
  <c r="E49" i="9"/>
  <c r="H53" i="11" s="1"/>
  <c r="D49" i="9"/>
  <c r="H53" i="12" s="1"/>
  <c r="C49" i="9"/>
  <c r="G48" i="9"/>
  <c r="F48" i="9"/>
  <c r="H52" i="13" s="1"/>
  <c r="E48" i="9"/>
  <c r="H52" i="11" s="1"/>
  <c r="D48" i="9"/>
  <c r="H52" i="12" s="1"/>
  <c r="C48" i="9"/>
  <c r="H52" i="10" s="1"/>
  <c r="G47" i="9"/>
  <c r="H51" i="14" s="1"/>
  <c r="F47" i="9"/>
  <c r="H51" i="13" s="1"/>
  <c r="E47" i="9"/>
  <c r="H51" i="11" s="1"/>
  <c r="D47" i="9"/>
  <c r="C47" i="9"/>
  <c r="G46" i="9"/>
  <c r="H50" i="14" s="1"/>
  <c r="F46" i="9"/>
  <c r="H50" i="13" s="1"/>
  <c r="E46" i="9"/>
  <c r="H50" i="11" s="1"/>
  <c r="D46" i="9"/>
  <c r="H50" i="12" s="1"/>
  <c r="C46" i="9"/>
  <c r="H50" i="10" s="1"/>
  <c r="G45" i="9"/>
  <c r="F45" i="9"/>
  <c r="E45" i="9"/>
  <c r="H49" i="11" s="1"/>
  <c r="D45" i="9"/>
  <c r="H49" i="12" s="1"/>
  <c r="C45" i="9"/>
  <c r="H49" i="10" s="1"/>
  <c r="G44" i="9"/>
  <c r="H48" i="14" s="1"/>
  <c r="F44" i="9"/>
  <c r="H48" i="13" s="1"/>
  <c r="E44" i="9"/>
  <c r="H48" i="11" s="1"/>
  <c r="D44" i="9"/>
  <c r="C44" i="9"/>
  <c r="H48" i="10" s="1"/>
  <c r="G43" i="9"/>
  <c r="H47" i="14" s="1"/>
  <c r="F43" i="9"/>
  <c r="H47" i="13" s="1"/>
  <c r="E43" i="9"/>
  <c r="H47" i="11" s="1"/>
  <c r="D43" i="9"/>
  <c r="H47" i="12" s="1"/>
  <c r="C43" i="9"/>
  <c r="H47" i="10" s="1"/>
  <c r="G42" i="9"/>
  <c r="H46" i="14" s="1"/>
  <c r="F42" i="9"/>
  <c r="E42" i="9"/>
  <c r="H46" i="11" s="1"/>
  <c r="D42" i="9"/>
  <c r="C42" i="9"/>
  <c r="H46" i="10" s="1"/>
  <c r="G41" i="9"/>
  <c r="H45" i="14" s="1"/>
  <c r="F41" i="9"/>
  <c r="H45" i="13" s="1"/>
  <c r="E41" i="9"/>
  <c r="H45" i="11" s="1"/>
  <c r="D41" i="9"/>
  <c r="H45" i="12" s="1"/>
  <c r="C41" i="9"/>
  <c r="H45" i="10" s="1"/>
  <c r="G40" i="9"/>
  <c r="H44" i="14" s="1"/>
  <c r="F40" i="9"/>
  <c r="H44" i="13" s="1"/>
  <c r="E40" i="9"/>
  <c r="H44" i="11" s="1"/>
  <c r="D40" i="9"/>
  <c r="H44" i="12" s="1"/>
  <c r="C40" i="9"/>
  <c r="H44" i="10" s="1"/>
  <c r="G39" i="9"/>
  <c r="H43" i="14" s="1"/>
  <c r="F39" i="9"/>
  <c r="H43" i="13" s="1"/>
  <c r="E39" i="9"/>
  <c r="D39" i="9"/>
  <c r="C39" i="9"/>
  <c r="G38" i="9"/>
  <c r="H42" i="14" s="1"/>
  <c r="F38" i="9"/>
  <c r="H42" i="13" s="1"/>
  <c r="E38" i="9"/>
  <c r="H42" i="11" s="1"/>
  <c r="D38" i="9"/>
  <c r="H42" i="12" s="1"/>
  <c r="C38" i="9"/>
  <c r="H42" i="10" s="1"/>
  <c r="G37" i="9"/>
  <c r="H41" i="14" s="1"/>
  <c r="F37" i="9"/>
  <c r="H41" i="13" s="1"/>
  <c r="E37" i="9"/>
  <c r="D37" i="9"/>
  <c r="H41" i="12" s="1"/>
  <c r="C37" i="9"/>
  <c r="H41" i="10" s="1"/>
  <c r="G36" i="9"/>
  <c r="H40" i="14" s="1"/>
  <c r="F36" i="9"/>
  <c r="H40" i="13" s="1"/>
  <c r="E36" i="9"/>
  <c r="H40" i="11" s="1"/>
  <c r="D36" i="9"/>
  <c r="C36" i="9"/>
  <c r="G35" i="9"/>
  <c r="H39" i="14" s="1"/>
  <c r="F35" i="9"/>
  <c r="H39" i="13" s="1"/>
  <c r="E35" i="9"/>
  <c r="H39" i="11" s="1"/>
  <c r="D35" i="9"/>
  <c r="H39" i="12" s="1"/>
  <c r="C35" i="9"/>
  <c r="H39" i="10" s="1"/>
  <c r="G34" i="9"/>
  <c r="H38" i="14" s="1"/>
  <c r="F34" i="9"/>
  <c r="H38" i="13" s="1"/>
  <c r="E34" i="9"/>
  <c r="D34" i="9"/>
  <c r="C34" i="9"/>
  <c r="H38" i="10" s="1"/>
  <c r="G33" i="9"/>
  <c r="H37" i="14" s="1"/>
  <c r="F33" i="9"/>
  <c r="H37" i="13" s="1"/>
  <c r="E33" i="9"/>
  <c r="H37" i="11" s="1"/>
  <c r="D33" i="9"/>
  <c r="H37" i="12" s="1"/>
  <c r="C33" i="9"/>
  <c r="G32" i="9"/>
  <c r="H36" i="14" s="1"/>
  <c r="F32" i="9"/>
  <c r="H36" i="13" s="1"/>
  <c r="E32" i="9"/>
  <c r="H36" i="11" s="1"/>
  <c r="D32" i="9"/>
  <c r="H36" i="12" s="1"/>
  <c r="C32" i="9"/>
  <c r="H36" i="10" s="1"/>
  <c r="G31" i="9"/>
  <c r="H35" i="14" s="1"/>
  <c r="F31" i="9"/>
  <c r="H35" i="13" s="1"/>
  <c r="E31" i="9"/>
  <c r="D31" i="9"/>
  <c r="C31" i="9"/>
  <c r="H35" i="10" s="1"/>
  <c r="G30" i="9"/>
  <c r="H34" i="14" s="1"/>
  <c r="F30" i="9"/>
  <c r="H34" i="13" s="1"/>
  <c r="E30" i="9"/>
  <c r="H34" i="11" s="1"/>
  <c r="D30" i="9"/>
  <c r="H34" i="12" s="1"/>
  <c r="C30" i="9"/>
  <c r="H34" i="10" s="1"/>
  <c r="G29" i="9"/>
  <c r="H33" i="14" s="1"/>
  <c r="F29" i="9"/>
  <c r="E29" i="9"/>
  <c r="H33" i="11" s="1"/>
  <c r="D29" i="9"/>
  <c r="H33" i="12" s="1"/>
  <c r="C29" i="9"/>
  <c r="H33" i="10" s="1"/>
  <c r="G28" i="9"/>
  <c r="H32" i="14" s="1"/>
  <c r="F28" i="9"/>
  <c r="H32" i="13" s="1"/>
  <c r="E28" i="9"/>
  <c r="H32" i="11" s="1"/>
  <c r="D28" i="9"/>
  <c r="C28" i="9"/>
  <c r="G27" i="9"/>
  <c r="H31" i="14" s="1"/>
  <c r="F27" i="9"/>
  <c r="H31" i="13" s="1"/>
  <c r="E27" i="9"/>
  <c r="H31" i="11" s="1"/>
  <c r="D27" i="9"/>
  <c r="H31" i="12" s="1"/>
  <c r="C27" i="9"/>
  <c r="H31" i="10" s="1"/>
  <c r="G26" i="9"/>
  <c r="H30" i="14" s="1"/>
  <c r="F26" i="9"/>
  <c r="E26" i="9"/>
  <c r="D26" i="9"/>
  <c r="C26" i="9"/>
  <c r="H30" i="10" s="1"/>
  <c r="G25" i="9"/>
  <c r="H29" i="14" s="1"/>
  <c r="F25" i="9"/>
  <c r="H29" i="13" s="1"/>
  <c r="E25" i="9"/>
  <c r="H29" i="11" s="1"/>
  <c r="D25" i="9"/>
  <c r="H29" i="12" s="1"/>
  <c r="C25" i="9"/>
  <c r="H29" i="10" s="1"/>
  <c r="G24" i="9"/>
  <c r="H28" i="14" s="1"/>
  <c r="F24" i="9"/>
  <c r="H28" i="13" s="1"/>
  <c r="E24" i="9"/>
  <c r="H28" i="11" s="1"/>
  <c r="D24" i="9"/>
  <c r="H28" i="12" s="1"/>
  <c r="C24" i="9"/>
  <c r="H28" i="10" s="1"/>
  <c r="G23" i="9"/>
  <c r="H27" i="14" s="1"/>
  <c r="F23" i="9"/>
  <c r="H27" i="13" s="1"/>
  <c r="E23" i="9"/>
  <c r="D23" i="9"/>
  <c r="C23" i="9"/>
  <c r="H27" i="10" s="1"/>
  <c r="G22" i="9"/>
  <c r="H26" i="14" s="1"/>
  <c r="F22" i="9"/>
  <c r="H26" i="13" s="1"/>
  <c r="E22" i="9"/>
  <c r="H26" i="11" s="1"/>
  <c r="D22" i="9"/>
  <c r="H26" i="12" s="1"/>
  <c r="C22" i="9"/>
  <c r="H26" i="10" s="1"/>
  <c r="G21" i="9"/>
  <c r="F21" i="9"/>
  <c r="E21" i="9"/>
  <c r="H25" i="11" s="1"/>
  <c r="D21" i="9"/>
  <c r="H25" i="12" s="1"/>
  <c r="C21" i="9"/>
  <c r="H25" i="10" s="1"/>
  <c r="G20" i="9"/>
  <c r="H24" i="14" s="1"/>
  <c r="F20" i="9"/>
  <c r="H24" i="13" s="1"/>
  <c r="E20" i="9"/>
  <c r="H24" i="11" s="1"/>
  <c r="D20" i="9"/>
  <c r="C20" i="9"/>
  <c r="G19" i="9"/>
  <c r="H23" i="14" s="1"/>
  <c r="F19" i="9"/>
  <c r="H23" i="13" s="1"/>
  <c r="E19" i="9"/>
  <c r="H23" i="11" s="1"/>
  <c r="D19" i="9"/>
  <c r="H23" i="12" s="1"/>
  <c r="C19" i="9"/>
  <c r="H23" i="10" s="1"/>
  <c r="G18" i="9"/>
  <c r="H22" i="14" s="1"/>
  <c r="F18" i="9"/>
  <c r="E18" i="9"/>
  <c r="H22" i="11" s="1"/>
  <c r="D18" i="9"/>
  <c r="H22" i="12" s="1"/>
  <c r="C18" i="9"/>
  <c r="H22" i="10" s="1"/>
  <c r="G17" i="9"/>
  <c r="H21" i="14" s="1"/>
  <c r="F17" i="9"/>
  <c r="H21" i="13" s="1"/>
  <c r="E17" i="9"/>
  <c r="H21" i="11" s="1"/>
  <c r="D17" i="9"/>
  <c r="H21" i="12" s="1"/>
  <c r="C17" i="9"/>
  <c r="G16" i="9"/>
  <c r="F16" i="9"/>
  <c r="H20" i="13" s="1"/>
  <c r="E16" i="9"/>
  <c r="H20" i="11" s="1"/>
  <c r="D16" i="9"/>
  <c r="H20" i="12" s="1"/>
  <c r="C16" i="9"/>
  <c r="H20" i="10" s="1"/>
  <c r="G15" i="9"/>
  <c r="H19" i="14" s="1"/>
  <c r="F15" i="9"/>
  <c r="H19" i="13" s="1"/>
  <c r="E15" i="9"/>
  <c r="D15" i="9"/>
  <c r="C15" i="9"/>
  <c r="H19" i="10" s="1"/>
  <c r="G14" i="9"/>
  <c r="H18" i="14" s="1"/>
  <c r="F14" i="9"/>
  <c r="H18" i="13" s="1"/>
  <c r="E14" i="9"/>
  <c r="H18" i="11" s="1"/>
  <c r="D14" i="9"/>
  <c r="H18" i="12" s="1"/>
  <c r="C14" i="9"/>
  <c r="H18" i="10" s="1"/>
  <c r="G13" i="9"/>
  <c r="H17" i="14" s="1"/>
  <c r="F13" i="9"/>
  <c r="H17" i="13" s="1"/>
  <c r="E13" i="9"/>
  <c r="H17" i="11" s="1"/>
  <c r="D13" i="9"/>
  <c r="H17" i="12" s="1"/>
  <c r="C13" i="9"/>
  <c r="H17" i="10" s="1"/>
  <c r="G12" i="9"/>
  <c r="H16" i="14" s="1"/>
  <c r="F12" i="9"/>
  <c r="H16" i="13" s="1"/>
  <c r="E12" i="9"/>
  <c r="H16" i="11" s="1"/>
  <c r="D12" i="9"/>
  <c r="C12" i="9"/>
  <c r="G11" i="9"/>
  <c r="H15" i="14" s="1"/>
  <c r="F11" i="9"/>
  <c r="H15" i="13" s="1"/>
  <c r="E11" i="9"/>
  <c r="H15" i="11" s="1"/>
  <c r="D11" i="9"/>
  <c r="H15" i="12" s="1"/>
  <c r="C11" i="9"/>
  <c r="H15" i="10" s="1"/>
  <c r="G10" i="9"/>
  <c r="H14" i="14" s="1"/>
  <c r="F10" i="9"/>
  <c r="E10" i="9"/>
  <c r="D10" i="9"/>
  <c r="H14" i="12" s="1"/>
  <c r="C10" i="9"/>
  <c r="H14" i="10" s="1"/>
  <c r="G62" i="3"/>
  <c r="I66" i="14" s="1"/>
  <c r="F62" i="3"/>
  <c r="I66" i="13" s="1"/>
  <c r="E62" i="3"/>
  <c r="I66" i="11" s="1"/>
  <c r="D62" i="3"/>
  <c r="I66" i="12" s="1"/>
  <c r="C62" i="3"/>
  <c r="G61" i="3"/>
  <c r="I65" i="14" s="1"/>
  <c r="F61" i="3"/>
  <c r="I65" i="13" s="1"/>
  <c r="E61" i="3"/>
  <c r="I65" i="11" s="1"/>
  <c r="D61" i="3"/>
  <c r="I65" i="12" s="1"/>
  <c r="C61" i="3"/>
  <c r="I65" i="10" s="1"/>
  <c r="G60" i="3"/>
  <c r="I64" i="14" s="1"/>
  <c r="F60" i="3"/>
  <c r="I64" i="13" s="1"/>
  <c r="E60" i="3"/>
  <c r="D60" i="3"/>
  <c r="I64" i="12" s="1"/>
  <c r="C60" i="3"/>
  <c r="I64" i="10" s="1"/>
  <c r="G59" i="3"/>
  <c r="I63" i="14" s="1"/>
  <c r="F59" i="3"/>
  <c r="I63" i="13" s="1"/>
  <c r="E59" i="3"/>
  <c r="I63" i="11" s="1"/>
  <c r="D59" i="3"/>
  <c r="I63" i="12" s="1"/>
  <c r="C59" i="3"/>
  <c r="I63" i="10" s="1"/>
  <c r="G58" i="3"/>
  <c r="F58" i="3"/>
  <c r="I62" i="13" s="1"/>
  <c r="E58" i="3"/>
  <c r="I62" i="11" s="1"/>
  <c r="D58" i="3"/>
  <c r="I62" i="12" s="1"/>
  <c r="C58" i="3"/>
  <c r="I62" i="10" s="1"/>
  <c r="G57" i="3"/>
  <c r="I61" i="14" s="1"/>
  <c r="F57" i="3"/>
  <c r="I61" i="13" s="1"/>
  <c r="E57" i="3"/>
  <c r="I61" i="11" s="1"/>
  <c r="D57" i="3"/>
  <c r="C57" i="3"/>
  <c r="G56" i="3"/>
  <c r="I60" i="14" s="1"/>
  <c r="F56" i="3"/>
  <c r="I60" i="13" s="1"/>
  <c r="E56" i="3"/>
  <c r="I60" i="11" s="1"/>
  <c r="D56" i="3"/>
  <c r="I60" i="12" s="1"/>
  <c r="C56" i="3"/>
  <c r="I60" i="10" s="1"/>
  <c r="G55" i="3"/>
  <c r="I59" i="14" s="1"/>
  <c r="F55" i="3"/>
  <c r="I59" i="13" s="1"/>
  <c r="E55" i="3"/>
  <c r="D55" i="3"/>
  <c r="C55" i="3"/>
  <c r="I59" i="10" s="1"/>
  <c r="G54" i="3"/>
  <c r="I58" i="14" s="1"/>
  <c r="F54" i="3"/>
  <c r="I58" i="13" s="1"/>
  <c r="E54" i="3"/>
  <c r="I58" i="11" s="1"/>
  <c r="D54" i="3"/>
  <c r="I58" i="12" s="1"/>
  <c r="C54" i="3"/>
  <c r="G53" i="3"/>
  <c r="F53" i="3"/>
  <c r="I57" i="13" s="1"/>
  <c r="E53" i="3"/>
  <c r="I57" i="11" s="1"/>
  <c r="D53" i="3"/>
  <c r="I57" i="12" s="1"/>
  <c r="C53" i="3"/>
  <c r="I57" i="10" s="1"/>
  <c r="G52" i="3"/>
  <c r="I56" i="14" s="1"/>
  <c r="F52" i="3"/>
  <c r="I56" i="13" s="1"/>
  <c r="E52" i="3"/>
  <c r="D52" i="3"/>
  <c r="C52" i="3"/>
  <c r="G51" i="3"/>
  <c r="I55" i="14" s="1"/>
  <c r="F51" i="3"/>
  <c r="I55" i="13" s="1"/>
  <c r="E51" i="3"/>
  <c r="I55" i="11" s="1"/>
  <c r="D51" i="3"/>
  <c r="I55" i="12" s="1"/>
  <c r="C51" i="3"/>
  <c r="I55" i="10" s="1"/>
  <c r="G50" i="3"/>
  <c r="I54" i="14" s="1"/>
  <c r="F50" i="3"/>
  <c r="E50" i="3"/>
  <c r="I54" i="11" s="1"/>
  <c r="D50" i="3"/>
  <c r="I54" i="12" s="1"/>
  <c r="C50" i="3"/>
  <c r="I54" i="10" s="1"/>
  <c r="G49" i="3"/>
  <c r="I53" i="14" s="1"/>
  <c r="F49" i="3"/>
  <c r="I53" i="13" s="1"/>
  <c r="E49" i="3"/>
  <c r="I53" i="11" s="1"/>
  <c r="D49" i="3"/>
  <c r="C49" i="3"/>
  <c r="G48" i="3"/>
  <c r="I52" i="14" s="1"/>
  <c r="F48" i="3"/>
  <c r="I52" i="13" s="1"/>
  <c r="E48" i="3"/>
  <c r="I52" i="11" s="1"/>
  <c r="D48" i="3"/>
  <c r="I52" i="12" s="1"/>
  <c r="C48" i="3"/>
  <c r="G47" i="3"/>
  <c r="I51" i="14" s="1"/>
  <c r="F47" i="3"/>
  <c r="I51" i="13" s="1"/>
  <c r="E47" i="3"/>
  <c r="D47" i="3"/>
  <c r="I51" i="12" s="1"/>
  <c r="C47" i="3"/>
  <c r="I51" i="10" s="1"/>
  <c r="G46" i="3"/>
  <c r="I50" i="14" s="1"/>
  <c r="F46" i="3"/>
  <c r="I50" i="13" s="1"/>
  <c r="E46" i="3"/>
  <c r="I50" i="11" s="1"/>
  <c r="D46" i="3"/>
  <c r="I50" i="12" s="1"/>
  <c r="C46" i="3"/>
  <c r="G45" i="3"/>
  <c r="F45" i="3"/>
  <c r="I49" i="13" s="1"/>
  <c r="E45" i="3"/>
  <c r="I49" i="11" s="1"/>
  <c r="D45" i="3"/>
  <c r="I49" i="12" s="1"/>
  <c r="C45" i="3"/>
  <c r="I49" i="10" s="1"/>
  <c r="G44" i="3"/>
  <c r="I48" i="14" s="1"/>
  <c r="F44" i="3"/>
  <c r="I48" i="13" s="1"/>
  <c r="E44" i="3"/>
  <c r="I48" i="11" s="1"/>
  <c r="D44" i="3"/>
  <c r="C44" i="3"/>
  <c r="G43" i="3"/>
  <c r="I47" i="14" s="1"/>
  <c r="F43" i="3"/>
  <c r="I47" i="13" s="1"/>
  <c r="E43" i="3"/>
  <c r="I47" i="11" s="1"/>
  <c r="D43" i="3"/>
  <c r="I47" i="12" s="1"/>
  <c r="C43" i="3"/>
  <c r="I47" i="10" s="1"/>
  <c r="G42" i="3"/>
  <c r="I46" i="14" s="1"/>
  <c r="F42" i="3"/>
  <c r="E42" i="3"/>
  <c r="I46" i="11" s="1"/>
  <c r="D42" i="3"/>
  <c r="I46" i="12" s="1"/>
  <c r="C42" i="3"/>
  <c r="I46" i="10" s="1"/>
  <c r="G41" i="3"/>
  <c r="I45" i="14" s="1"/>
  <c r="F41" i="3"/>
  <c r="I45" i="13" s="1"/>
  <c r="E41" i="3"/>
  <c r="I45" i="11" s="1"/>
  <c r="D41" i="3"/>
  <c r="I45" i="12" s="1"/>
  <c r="C41" i="3"/>
  <c r="G40" i="3"/>
  <c r="I44" i="14" s="1"/>
  <c r="F40" i="3"/>
  <c r="I44" i="13" s="1"/>
  <c r="E40" i="3"/>
  <c r="I44" i="11" s="1"/>
  <c r="D40" i="3"/>
  <c r="I44" i="12" s="1"/>
  <c r="C40" i="3"/>
  <c r="I44" i="10" s="1"/>
  <c r="G39" i="3"/>
  <c r="I43" i="14" s="1"/>
  <c r="F39" i="3"/>
  <c r="E39" i="3"/>
  <c r="I43" i="11" s="1"/>
  <c r="D39" i="3"/>
  <c r="I43" i="12" s="1"/>
  <c r="C39" i="3"/>
  <c r="I43" i="10" s="1"/>
  <c r="G38" i="3"/>
  <c r="I42" i="14" s="1"/>
  <c r="F38" i="3"/>
  <c r="I42" i="13" s="1"/>
  <c r="E38" i="3"/>
  <c r="I42" i="11" s="1"/>
  <c r="D38" i="3"/>
  <c r="I42" i="12" s="1"/>
  <c r="C38" i="3"/>
  <c r="G37" i="3"/>
  <c r="I41" i="14" s="1"/>
  <c r="F37" i="3"/>
  <c r="E37" i="3"/>
  <c r="I41" i="11" s="1"/>
  <c r="D37" i="3"/>
  <c r="I41" i="12" s="1"/>
  <c r="C37" i="3"/>
  <c r="I41" i="10" s="1"/>
  <c r="G36" i="3"/>
  <c r="I40" i="14" s="1"/>
  <c r="F36" i="3"/>
  <c r="I40" i="13" s="1"/>
  <c r="E36" i="3"/>
  <c r="D36" i="3"/>
  <c r="I40" i="12" s="1"/>
  <c r="C36" i="3"/>
  <c r="I40" i="10" s="1"/>
  <c r="G35" i="3"/>
  <c r="I39" i="14" s="1"/>
  <c r="F35" i="3"/>
  <c r="I39" i="13" s="1"/>
  <c r="E35" i="3"/>
  <c r="I39" i="11" s="1"/>
  <c r="D35" i="3"/>
  <c r="I39" i="12" s="1"/>
  <c r="C35" i="3"/>
  <c r="I39" i="10" s="1"/>
  <c r="G34" i="3"/>
  <c r="I38" i="14" s="1"/>
  <c r="F34" i="3"/>
  <c r="E34" i="3"/>
  <c r="I38" i="11" s="1"/>
  <c r="D34" i="3"/>
  <c r="I38" i="12" s="1"/>
  <c r="C34" i="3"/>
  <c r="I38" i="10" s="1"/>
  <c r="G33" i="3"/>
  <c r="I37" i="14" s="1"/>
  <c r="F33" i="3"/>
  <c r="I37" i="13" s="1"/>
  <c r="E33" i="3"/>
  <c r="I37" i="11" s="1"/>
  <c r="D33" i="3"/>
  <c r="C33" i="3"/>
  <c r="G32" i="3"/>
  <c r="I36" i="14" s="1"/>
  <c r="F32" i="3"/>
  <c r="I36" i="13" s="1"/>
  <c r="E32" i="3"/>
  <c r="I36" i="11" s="1"/>
  <c r="D32" i="3"/>
  <c r="I36" i="12" s="1"/>
  <c r="C32" i="3"/>
  <c r="I36" i="10" s="1"/>
  <c r="G31" i="3"/>
  <c r="I35" i="14" s="1"/>
  <c r="F31" i="3"/>
  <c r="E31" i="3"/>
  <c r="D31" i="3"/>
  <c r="I35" i="12" s="1"/>
  <c r="C31" i="3"/>
  <c r="I35" i="10" s="1"/>
  <c r="G30" i="3"/>
  <c r="I34" i="14" s="1"/>
  <c r="F30" i="3"/>
  <c r="I34" i="13" s="1"/>
  <c r="E30" i="3"/>
  <c r="I34" i="11" s="1"/>
  <c r="D30" i="3"/>
  <c r="I34" i="12" s="1"/>
  <c r="C30" i="3"/>
  <c r="G29" i="3"/>
  <c r="I33" i="14" s="1"/>
  <c r="F29" i="3"/>
  <c r="I33" i="13" s="1"/>
  <c r="E29" i="3"/>
  <c r="I33" i="11" s="1"/>
  <c r="D29" i="3"/>
  <c r="I33" i="12" s="1"/>
  <c r="C29" i="3"/>
  <c r="I33" i="10" s="1"/>
  <c r="G28" i="3"/>
  <c r="I32" i="14" s="1"/>
  <c r="F28" i="3"/>
  <c r="I32" i="13" s="1"/>
  <c r="E28" i="3"/>
  <c r="D28" i="3"/>
  <c r="C28" i="3"/>
  <c r="G27" i="3"/>
  <c r="I31" i="14" s="1"/>
  <c r="F27" i="3"/>
  <c r="I31" i="13" s="1"/>
  <c r="E27" i="3"/>
  <c r="I31" i="11" s="1"/>
  <c r="D27" i="3"/>
  <c r="I31" i="12" s="1"/>
  <c r="C27" i="3"/>
  <c r="I31" i="10" s="1"/>
  <c r="G26" i="3"/>
  <c r="I30" i="14" s="1"/>
  <c r="F26" i="3"/>
  <c r="I30" i="13" s="1"/>
  <c r="E26" i="3"/>
  <c r="I30" i="11" s="1"/>
  <c r="D26" i="3"/>
  <c r="I30" i="12" s="1"/>
  <c r="C26" i="3"/>
  <c r="I30" i="10" s="1"/>
  <c r="G25" i="3"/>
  <c r="I29" i="14" s="1"/>
  <c r="F25" i="3"/>
  <c r="I29" i="13" s="1"/>
  <c r="E25" i="3"/>
  <c r="I29" i="11" s="1"/>
  <c r="D25" i="3"/>
  <c r="C25" i="3"/>
  <c r="G24" i="3"/>
  <c r="I28" i="14" s="1"/>
  <c r="F24" i="3"/>
  <c r="I28" i="13" s="1"/>
  <c r="E24" i="3"/>
  <c r="I28" i="11" s="1"/>
  <c r="D24" i="3"/>
  <c r="I28" i="12" s="1"/>
  <c r="C24" i="3"/>
  <c r="I28" i="10" s="1"/>
  <c r="G23" i="3"/>
  <c r="I27" i="14" s="1"/>
  <c r="F23" i="3"/>
  <c r="I27" i="13" s="1"/>
  <c r="E23" i="3"/>
  <c r="I27" i="11" s="1"/>
  <c r="D23" i="3"/>
  <c r="I27" i="12" s="1"/>
  <c r="C23" i="3"/>
  <c r="I27" i="10" s="1"/>
  <c r="G22" i="3"/>
  <c r="I26" i="14" s="1"/>
  <c r="F22" i="3"/>
  <c r="I26" i="13" s="1"/>
  <c r="E22" i="3"/>
  <c r="I26" i="11" s="1"/>
  <c r="D22" i="3"/>
  <c r="I26" i="12" s="1"/>
  <c r="C22" i="3"/>
  <c r="G21" i="3"/>
  <c r="I25" i="14" s="1"/>
  <c r="F21" i="3"/>
  <c r="I25" i="13" s="1"/>
  <c r="E21" i="3"/>
  <c r="I25" i="11" s="1"/>
  <c r="D21" i="3"/>
  <c r="I25" i="12" s="1"/>
  <c r="C21" i="3"/>
  <c r="I25" i="10" s="1"/>
  <c r="G20" i="3"/>
  <c r="I24" i="14" s="1"/>
  <c r="F20" i="3"/>
  <c r="I24" i="13" s="1"/>
  <c r="E20" i="3"/>
  <c r="I24" i="11" s="1"/>
  <c r="D20" i="3"/>
  <c r="C20" i="3"/>
  <c r="I24" i="10" s="1"/>
  <c r="G19" i="3"/>
  <c r="I23" i="14" s="1"/>
  <c r="F19" i="3"/>
  <c r="I23" i="13" s="1"/>
  <c r="E19" i="3"/>
  <c r="I23" i="11" s="1"/>
  <c r="D19" i="3"/>
  <c r="I23" i="12" s="1"/>
  <c r="C19" i="3"/>
  <c r="I23" i="10" s="1"/>
  <c r="G18" i="3"/>
  <c r="I22" i="14" s="1"/>
  <c r="F18" i="3"/>
  <c r="E18" i="3"/>
  <c r="I22" i="11" s="1"/>
  <c r="D18" i="3"/>
  <c r="I22" i="12" s="1"/>
  <c r="C18" i="3"/>
  <c r="I22" i="10" s="1"/>
  <c r="G17" i="3"/>
  <c r="I21" i="14" s="1"/>
  <c r="F17" i="3"/>
  <c r="I21" i="13" s="1"/>
  <c r="E17" i="3"/>
  <c r="I21" i="11" s="1"/>
  <c r="D17" i="3"/>
  <c r="C17" i="3"/>
  <c r="G16" i="3"/>
  <c r="I20" i="14" s="1"/>
  <c r="F16" i="3"/>
  <c r="I20" i="13" s="1"/>
  <c r="E16" i="3"/>
  <c r="I20" i="11" s="1"/>
  <c r="D16" i="3"/>
  <c r="I20" i="12" s="1"/>
  <c r="C16" i="3"/>
  <c r="I20" i="10" s="1"/>
  <c r="G15" i="3"/>
  <c r="I19" i="14" s="1"/>
  <c r="F15" i="3"/>
  <c r="I19" i="13" s="1"/>
  <c r="E15" i="3"/>
  <c r="D15" i="3"/>
  <c r="I19" i="12" s="1"/>
  <c r="C15" i="3"/>
  <c r="I19" i="10" s="1"/>
  <c r="G14" i="3"/>
  <c r="I18" i="14" s="1"/>
  <c r="F14" i="3"/>
  <c r="I18" i="13" s="1"/>
  <c r="E14" i="3"/>
  <c r="I18" i="11" s="1"/>
  <c r="D14" i="3"/>
  <c r="I18" i="12" s="1"/>
  <c r="C14" i="3"/>
  <c r="G13" i="3"/>
  <c r="F13" i="3"/>
  <c r="I17" i="13" s="1"/>
  <c r="E13" i="3"/>
  <c r="I17" i="11" s="1"/>
  <c r="D13" i="3"/>
  <c r="I17" i="12" s="1"/>
  <c r="C13" i="3"/>
  <c r="I17" i="10" s="1"/>
  <c r="G12" i="3"/>
  <c r="I16" i="14" s="1"/>
  <c r="F12" i="3"/>
  <c r="I16" i="13" s="1"/>
  <c r="E12" i="3"/>
  <c r="D12" i="3"/>
  <c r="C12" i="3"/>
  <c r="I16" i="10" s="1"/>
  <c r="G11" i="3"/>
  <c r="I15" i="14" s="1"/>
  <c r="F11" i="3"/>
  <c r="I15" i="13" s="1"/>
  <c r="E11" i="3"/>
  <c r="I15" i="11" s="1"/>
  <c r="D11" i="3"/>
  <c r="I15" i="12" s="1"/>
  <c r="C11" i="3"/>
  <c r="I15" i="10" s="1"/>
  <c r="G10" i="3"/>
  <c r="F10" i="3"/>
  <c r="E10" i="3"/>
  <c r="D10" i="3"/>
  <c r="I14" i="12" s="1"/>
  <c r="C10" i="3"/>
  <c r="I14" i="10" s="1"/>
  <c r="G62" i="2"/>
  <c r="J66" i="14" s="1"/>
  <c r="F62" i="2"/>
  <c r="J66" i="13" s="1"/>
  <c r="E62" i="2"/>
  <c r="J66" i="11" s="1"/>
  <c r="D62" i="2"/>
  <c r="C62" i="2"/>
  <c r="G61" i="2"/>
  <c r="J65" i="14" s="1"/>
  <c r="F61" i="2"/>
  <c r="J65" i="13" s="1"/>
  <c r="E61" i="2"/>
  <c r="J65" i="11" s="1"/>
  <c r="D61" i="2"/>
  <c r="J65" i="12" s="1"/>
  <c r="C61" i="2"/>
  <c r="J65" i="10" s="1"/>
  <c r="G60" i="2"/>
  <c r="J64" i="14" s="1"/>
  <c r="F60" i="2"/>
  <c r="E60" i="2"/>
  <c r="D60" i="2"/>
  <c r="C60" i="2"/>
  <c r="J64" i="10" s="1"/>
  <c r="G59" i="2"/>
  <c r="J63" i="14" s="1"/>
  <c r="F59" i="2"/>
  <c r="J63" i="13" s="1"/>
  <c r="E59" i="2"/>
  <c r="J63" i="11" s="1"/>
  <c r="D59" i="2"/>
  <c r="J63" i="12" s="1"/>
  <c r="C59" i="2"/>
  <c r="G58" i="2"/>
  <c r="J62" i="14" s="1"/>
  <c r="F58" i="2"/>
  <c r="J62" i="13" s="1"/>
  <c r="E58" i="2"/>
  <c r="J62" i="11" s="1"/>
  <c r="D58" i="2"/>
  <c r="J62" i="12" s="1"/>
  <c r="C58" i="2"/>
  <c r="J62" i="10" s="1"/>
  <c r="G57" i="2"/>
  <c r="J61" i="14" s="1"/>
  <c r="F57" i="2"/>
  <c r="J61" i="13" s="1"/>
  <c r="E57" i="2"/>
  <c r="D57" i="2"/>
  <c r="C57" i="2"/>
  <c r="G56" i="2"/>
  <c r="J60" i="14" s="1"/>
  <c r="F56" i="2"/>
  <c r="J60" i="13" s="1"/>
  <c r="E56" i="2"/>
  <c r="J60" i="11" s="1"/>
  <c r="D56" i="2"/>
  <c r="J60" i="12" s="1"/>
  <c r="C56" i="2"/>
  <c r="J60" i="10" s="1"/>
  <c r="G55" i="2"/>
  <c r="F55" i="2"/>
  <c r="J59" i="13" s="1"/>
  <c r="E55" i="2"/>
  <c r="J59" i="11" s="1"/>
  <c r="D55" i="2"/>
  <c r="J59" i="12" s="1"/>
  <c r="C55" i="2"/>
  <c r="J59" i="10" s="1"/>
  <c r="G54" i="2"/>
  <c r="J58" i="14" s="1"/>
  <c r="F54" i="2"/>
  <c r="J58" i="13" s="1"/>
  <c r="E54" i="2"/>
  <c r="J58" i="11" s="1"/>
  <c r="D54" i="2"/>
  <c r="C54" i="2"/>
  <c r="G53" i="2"/>
  <c r="J57" i="14" s="1"/>
  <c r="F53" i="2"/>
  <c r="J57" i="13" s="1"/>
  <c r="E53" i="2"/>
  <c r="J57" i="11" s="1"/>
  <c r="D53" i="2"/>
  <c r="J57" i="12" s="1"/>
  <c r="C53" i="2"/>
  <c r="J57" i="10" s="1"/>
  <c r="G52" i="2"/>
  <c r="J56" i="14" s="1"/>
  <c r="F52" i="2"/>
  <c r="E52" i="2"/>
  <c r="J56" i="11" s="1"/>
  <c r="D52" i="2"/>
  <c r="C52" i="2"/>
  <c r="J56" i="10" s="1"/>
  <c r="G51" i="2"/>
  <c r="J55" i="14" s="1"/>
  <c r="F51" i="2"/>
  <c r="J55" i="13" s="1"/>
  <c r="E51" i="2"/>
  <c r="J55" i="11" s="1"/>
  <c r="D51" i="2"/>
  <c r="J55" i="12" s="1"/>
  <c r="C51" i="2"/>
  <c r="J55" i="10" s="1"/>
  <c r="G50" i="2"/>
  <c r="F50" i="2"/>
  <c r="J54" i="13" s="1"/>
  <c r="E50" i="2"/>
  <c r="J54" i="11" s="1"/>
  <c r="D50" i="2"/>
  <c r="J54" i="12" s="1"/>
  <c r="C50" i="2"/>
  <c r="J54" i="10" s="1"/>
  <c r="G49" i="2"/>
  <c r="J53" i="14" s="1"/>
  <c r="F49" i="2"/>
  <c r="J53" i="13" s="1"/>
  <c r="E49" i="2"/>
  <c r="J53" i="11" s="1"/>
  <c r="D49" i="2"/>
  <c r="C49" i="2"/>
  <c r="G48" i="2"/>
  <c r="J52" i="14" s="1"/>
  <c r="F48" i="2"/>
  <c r="J52" i="13" s="1"/>
  <c r="E48" i="2"/>
  <c r="J52" i="11" s="1"/>
  <c r="D48" i="2"/>
  <c r="J52" i="12" s="1"/>
  <c r="C48" i="2"/>
  <c r="J52" i="10" s="1"/>
  <c r="G47" i="2"/>
  <c r="J51" i="14" s="1"/>
  <c r="F47" i="2"/>
  <c r="E47" i="2"/>
  <c r="J51" i="11" s="1"/>
  <c r="D47" i="2"/>
  <c r="J51" i="12" s="1"/>
  <c r="C47" i="2"/>
  <c r="J51" i="10" s="1"/>
  <c r="G46" i="2"/>
  <c r="J50" i="14" s="1"/>
  <c r="F46" i="2"/>
  <c r="J50" i="13" s="1"/>
  <c r="E46" i="2"/>
  <c r="J50" i="11" s="1"/>
  <c r="D46" i="2"/>
  <c r="C46" i="2"/>
  <c r="G45" i="2"/>
  <c r="J49" i="14" s="1"/>
  <c r="F45" i="2"/>
  <c r="J49" i="13" s="1"/>
  <c r="E45" i="2"/>
  <c r="J49" i="11" s="1"/>
  <c r="D45" i="2"/>
  <c r="J49" i="12" s="1"/>
  <c r="C45" i="2"/>
  <c r="J49" i="10" s="1"/>
  <c r="G44" i="2"/>
  <c r="J48" i="14" s="1"/>
  <c r="F44" i="2"/>
  <c r="E44" i="2"/>
  <c r="J48" i="11" s="1"/>
  <c r="D44" i="2"/>
  <c r="C44" i="2"/>
  <c r="J48" i="10" s="1"/>
  <c r="G43" i="2"/>
  <c r="J47" i="14" s="1"/>
  <c r="F43" i="2"/>
  <c r="J47" i="13" s="1"/>
  <c r="E43" i="2"/>
  <c r="J47" i="11" s="1"/>
  <c r="D43" i="2"/>
  <c r="J47" i="12" s="1"/>
  <c r="C43" i="2"/>
  <c r="G42" i="2"/>
  <c r="J46" i="14" s="1"/>
  <c r="F42" i="2"/>
  <c r="J46" i="13" s="1"/>
  <c r="E42" i="2"/>
  <c r="J46" i="11" s="1"/>
  <c r="D42" i="2"/>
  <c r="J46" i="12" s="1"/>
  <c r="C42" i="2"/>
  <c r="J46" i="10" s="1"/>
  <c r="G41" i="2"/>
  <c r="J45" i="14" s="1"/>
  <c r="F41" i="2"/>
  <c r="J45" i="13" s="1"/>
  <c r="E41" i="2"/>
  <c r="J45" i="11" s="1"/>
  <c r="D41" i="2"/>
  <c r="C41" i="2"/>
  <c r="J45" i="10" s="1"/>
  <c r="G40" i="2"/>
  <c r="J44" i="14" s="1"/>
  <c r="F40" i="2"/>
  <c r="J44" i="13" s="1"/>
  <c r="E40" i="2"/>
  <c r="J44" i="11" s="1"/>
  <c r="D40" i="2"/>
  <c r="J44" i="12" s="1"/>
  <c r="C40" i="2"/>
  <c r="J44" i="10" s="1"/>
  <c r="G39" i="2"/>
  <c r="F39" i="2"/>
  <c r="E39" i="2"/>
  <c r="J43" i="11" s="1"/>
  <c r="D39" i="2"/>
  <c r="J43" i="12" s="1"/>
  <c r="C39" i="2"/>
  <c r="J43" i="10" s="1"/>
  <c r="G38" i="2"/>
  <c r="J42" i="14" s="1"/>
  <c r="F38" i="2"/>
  <c r="J42" i="13" s="1"/>
  <c r="E38" i="2"/>
  <c r="J42" i="11" s="1"/>
  <c r="D38" i="2"/>
  <c r="C38" i="2"/>
  <c r="J42" i="10" s="1"/>
  <c r="G37" i="2"/>
  <c r="J41" i="14" s="1"/>
  <c r="F37" i="2"/>
  <c r="J41" i="13" s="1"/>
  <c r="E37" i="2"/>
  <c r="J41" i="11" s="1"/>
  <c r="D37" i="2"/>
  <c r="J41" i="12" s="1"/>
  <c r="C37" i="2"/>
  <c r="J41" i="10" s="1"/>
  <c r="G36" i="2"/>
  <c r="J40" i="14" s="1"/>
  <c r="F36" i="2"/>
  <c r="E36" i="2"/>
  <c r="J40" i="11" s="1"/>
  <c r="D36" i="2"/>
  <c r="J40" i="12" s="1"/>
  <c r="C36" i="2"/>
  <c r="J40" i="10" s="1"/>
  <c r="G35" i="2"/>
  <c r="J39" i="14" s="1"/>
  <c r="F35" i="2"/>
  <c r="J39" i="13" s="1"/>
  <c r="E35" i="2"/>
  <c r="J39" i="11" s="1"/>
  <c r="D35" i="2"/>
  <c r="J39" i="12" s="1"/>
  <c r="C35" i="2"/>
  <c r="J39" i="10" s="1"/>
  <c r="G34" i="2"/>
  <c r="J38" i="14" s="1"/>
  <c r="F34" i="2"/>
  <c r="J38" i="13" s="1"/>
  <c r="E34" i="2"/>
  <c r="J38" i="11" s="1"/>
  <c r="D34" i="2"/>
  <c r="J38" i="12" s="1"/>
  <c r="C34" i="2"/>
  <c r="J38" i="10" s="1"/>
  <c r="G33" i="2"/>
  <c r="J37" i="14" s="1"/>
  <c r="F33" i="2"/>
  <c r="J37" i="13" s="1"/>
  <c r="E33" i="2"/>
  <c r="J37" i="11" s="1"/>
  <c r="D33" i="2"/>
  <c r="C33" i="2"/>
  <c r="J37" i="10" s="1"/>
  <c r="G32" i="2"/>
  <c r="J36" i="14" s="1"/>
  <c r="F32" i="2"/>
  <c r="J36" i="13" s="1"/>
  <c r="E32" i="2"/>
  <c r="J36" i="11" s="1"/>
  <c r="D32" i="2"/>
  <c r="J36" i="12" s="1"/>
  <c r="C32" i="2"/>
  <c r="J36" i="10" s="1"/>
  <c r="G31" i="2"/>
  <c r="J35" i="14" s="1"/>
  <c r="F31" i="2"/>
  <c r="E31" i="2"/>
  <c r="J35" i="11" s="1"/>
  <c r="D31" i="2"/>
  <c r="J35" i="12" s="1"/>
  <c r="C31" i="2"/>
  <c r="J35" i="10" s="1"/>
  <c r="G30" i="2"/>
  <c r="J34" i="14" s="1"/>
  <c r="F30" i="2"/>
  <c r="J34" i="13" s="1"/>
  <c r="E30" i="2"/>
  <c r="J34" i="11" s="1"/>
  <c r="D30" i="2"/>
  <c r="C30" i="2"/>
  <c r="G29" i="2"/>
  <c r="J33" i="14" s="1"/>
  <c r="F29" i="2"/>
  <c r="J33" i="13" s="1"/>
  <c r="E29" i="2"/>
  <c r="J33" i="11" s="1"/>
  <c r="D29" i="2"/>
  <c r="J33" i="12" s="1"/>
  <c r="C29" i="2"/>
  <c r="J33" i="10" s="1"/>
  <c r="G28" i="2"/>
  <c r="J32" i="14" s="1"/>
  <c r="F28" i="2"/>
  <c r="J32" i="13" s="1"/>
  <c r="E28" i="2"/>
  <c r="D28" i="2"/>
  <c r="C28" i="2"/>
  <c r="J32" i="10" s="1"/>
  <c r="G27" i="2"/>
  <c r="J31" i="14" s="1"/>
  <c r="F27" i="2"/>
  <c r="J31" i="13" s="1"/>
  <c r="E27" i="2"/>
  <c r="J31" i="11" s="1"/>
  <c r="D27" i="2"/>
  <c r="J31" i="12" s="1"/>
  <c r="C27" i="2"/>
  <c r="G26" i="2"/>
  <c r="J30" i="14" s="1"/>
  <c r="F26" i="2"/>
  <c r="J30" i="13" s="1"/>
  <c r="E26" i="2"/>
  <c r="J30" i="11" s="1"/>
  <c r="D26" i="2"/>
  <c r="J30" i="12" s="1"/>
  <c r="C26" i="2"/>
  <c r="J30" i="10" s="1"/>
  <c r="G25" i="2"/>
  <c r="J29" i="14" s="1"/>
  <c r="F25" i="2"/>
  <c r="J29" i="13" s="1"/>
  <c r="E25" i="2"/>
  <c r="J29" i="11" s="1"/>
  <c r="D25" i="2"/>
  <c r="C25" i="2"/>
  <c r="G24" i="2"/>
  <c r="J28" i="14" s="1"/>
  <c r="F24" i="2"/>
  <c r="J28" i="13" s="1"/>
  <c r="E24" i="2"/>
  <c r="J28" i="11" s="1"/>
  <c r="D24" i="2"/>
  <c r="J28" i="12" s="1"/>
  <c r="C24" i="2"/>
  <c r="J28" i="10" s="1"/>
  <c r="G23" i="2"/>
  <c r="J27" i="14" s="1"/>
  <c r="F23" i="2"/>
  <c r="J27" i="13" s="1"/>
  <c r="E23" i="2"/>
  <c r="J27" i="11" s="1"/>
  <c r="D23" i="2"/>
  <c r="J27" i="12" s="1"/>
  <c r="C23" i="2"/>
  <c r="J27" i="10" s="1"/>
  <c r="G22" i="2"/>
  <c r="J26" i="14" s="1"/>
  <c r="F22" i="2"/>
  <c r="J26" i="13" s="1"/>
  <c r="E22" i="2"/>
  <c r="J26" i="11" s="1"/>
  <c r="D22" i="2"/>
  <c r="C22" i="2"/>
  <c r="J26" i="10" s="1"/>
  <c r="G21" i="2"/>
  <c r="J25" i="14" s="1"/>
  <c r="F21" i="2"/>
  <c r="J25" i="13" s="1"/>
  <c r="E21" i="2"/>
  <c r="J25" i="11" s="1"/>
  <c r="D21" i="2"/>
  <c r="J25" i="12" s="1"/>
  <c r="C21" i="2"/>
  <c r="J25" i="10" s="1"/>
  <c r="G20" i="2"/>
  <c r="J24" i="14" s="1"/>
  <c r="F20" i="2"/>
  <c r="E20" i="2"/>
  <c r="D20" i="2"/>
  <c r="J24" i="12" s="1"/>
  <c r="C20" i="2"/>
  <c r="J24" i="10" s="1"/>
  <c r="G19" i="2"/>
  <c r="J23" i="14" s="1"/>
  <c r="F19" i="2"/>
  <c r="J23" i="13" s="1"/>
  <c r="E19" i="2"/>
  <c r="J23" i="11" s="1"/>
  <c r="D19" i="2"/>
  <c r="J23" i="12" s="1"/>
  <c r="C19" i="2"/>
  <c r="J23" i="10" s="1"/>
  <c r="G18" i="2"/>
  <c r="F18" i="2"/>
  <c r="J22" i="13" s="1"/>
  <c r="E18" i="2"/>
  <c r="J22" i="11" s="1"/>
  <c r="D18" i="2"/>
  <c r="J22" i="12" s="1"/>
  <c r="C18" i="2"/>
  <c r="J22" i="10" s="1"/>
  <c r="G17" i="2"/>
  <c r="J21" i="14" s="1"/>
  <c r="F17" i="2"/>
  <c r="J21" i="13" s="1"/>
  <c r="E17" i="2"/>
  <c r="J21" i="11" s="1"/>
  <c r="D17" i="2"/>
  <c r="C17" i="2"/>
  <c r="G16" i="2"/>
  <c r="J20" i="14" s="1"/>
  <c r="F16" i="2"/>
  <c r="J20" i="13" s="1"/>
  <c r="E16" i="2"/>
  <c r="J20" i="11" s="1"/>
  <c r="D16" i="2"/>
  <c r="J20" i="12" s="1"/>
  <c r="C16" i="2"/>
  <c r="J20" i="10" s="1"/>
  <c r="G15" i="2"/>
  <c r="F15" i="2"/>
  <c r="E15" i="2"/>
  <c r="J19" i="11" s="1"/>
  <c r="D15" i="2"/>
  <c r="J19" i="12" s="1"/>
  <c r="C15" i="2"/>
  <c r="J19" i="10" s="1"/>
  <c r="G14" i="2"/>
  <c r="J18" i="14" s="1"/>
  <c r="F14" i="2"/>
  <c r="J18" i="13" s="1"/>
  <c r="E14" i="2"/>
  <c r="J18" i="11" s="1"/>
  <c r="D14" i="2"/>
  <c r="C14" i="2"/>
  <c r="G13" i="2"/>
  <c r="J17" i="14" s="1"/>
  <c r="F13" i="2"/>
  <c r="J17" i="13" s="1"/>
  <c r="E13" i="2"/>
  <c r="J17" i="11" s="1"/>
  <c r="D13" i="2"/>
  <c r="J17" i="12" s="1"/>
  <c r="C13" i="2"/>
  <c r="J17" i="10" s="1"/>
  <c r="G12" i="2"/>
  <c r="J16" i="14" s="1"/>
  <c r="F12" i="2"/>
  <c r="E12" i="2"/>
  <c r="D12" i="2"/>
  <c r="J16" i="12" s="1"/>
  <c r="C12" i="2"/>
  <c r="J16" i="10" s="1"/>
  <c r="G11" i="2"/>
  <c r="J15" i="14" s="1"/>
  <c r="F11" i="2"/>
  <c r="J15" i="13" s="1"/>
  <c r="E11" i="2"/>
  <c r="J15" i="11" s="1"/>
  <c r="D11" i="2"/>
  <c r="J15" i="12" s="1"/>
  <c r="C11" i="2"/>
  <c r="G10" i="2"/>
  <c r="J14" i="14" s="1"/>
  <c r="F10" i="2"/>
  <c r="J14" i="13" s="1"/>
  <c r="E10" i="2"/>
  <c r="J14" i="11" s="1"/>
  <c r="D10" i="2"/>
  <c r="J14" i="12" s="1"/>
  <c r="C10" i="2"/>
  <c r="J14" i="10" s="1"/>
  <c r="G62" i="1"/>
  <c r="K66" i="14" s="1"/>
  <c r="F62" i="1"/>
  <c r="K66" i="13" s="1"/>
  <c r="E62" i="1"/>
  <c r="K66" i="11" s="1"/>
  <c r="D62" i="1"/>
  <c r="K66" i="12" s="1"/>
  <c r="C62" i="1"/>
  <c r="K66" i="10" s="1"/>
  <c r="G61" i="1"/>
  <c r="K65" i="14" s="1"/>
  <c r="F61" i="1"/>
  <c r="K65" i="13" s="1"/>
  <c r="E61" i="1"/>
  <c r="K65" i="11" s="1"/>
  <c r="D61" i="1"/>
  <c r="K65" i="12" s="1"/>
  <c r="C61" i="1"/>
  <c r="K65" i="10" s="1"/>
  <c r="G60" i="1"/>
  <c r="F60" i="1"/>
  <c r="K64" i="13" s="1"/>
  <c r="E60" i="1"/>
  <c r="K64" i="11" s="1"/>
  <c r="D60" i="1"/>
  <c r="K64" i="12" s="1"/>
  <c r="G59" i="1"/>
  <c r="K63" i="14" s="1"/>
  <c r="F59" i="1"/>
  <c r="K63" i="13" s="1"/>
  <c r="E59" i="1"/>
  <c r="K63" i="11" s="1"/>
  <c r="D59" i="1"/>
  <c r="K63" i="12" s="1"/>
  <c r="C59" i="1"/>
  <c r="G58" i="1"/>
  <c r="K62" i="14" s="1"/>
  <c r="F58" i="1"/>
  <c r="K62" i="13" s="1"/>
  <c r="E58" i="1"/>
  <c r="K62" i="11" s="1"/>
  <c r="D58" i="1"/>
  <c r="K62" i="12" s="1"/>
  <c r="C58" i="1"/>
  <c r="K62" i="10" s="1"/>
  <c r="G57" i="1"/>
  <c r="K61" i="14" s="1"/>
  <c r="F57" i="1"/>
  <c r="K61" i="13" s="1"/>
  <c r="E57" i="1"/>
  <c r="K61" i="11" s="1"/>
  <c r="D57" i="1"/>
  <c r="K61" i="12" s="1"/>
  <c r="C57" i="1"/>
  <c r="K61" i="10" s="1"/>
  <c r="G56" i="1"/>
  <c r="K60" i="14" s="1"/>
  <c r="F56" i="1"/>
  <c r="K60" i="13" s="1"/>
  <c r="E56" i="1"/>
  <c r="K60" i="11" s="1"/>
  <c r="D56" i="1"/>
  <c r="K60" i="12" s="1"/>
  <c r="C56" i="1"/>
  <c r="K60" i="10" s="1"/>
  <c r="G55" i="1"/>
  <c r="F55" i="1"/>
  <c r="K59" i="13" s="1"/>
  <c r="E55" i="1"/>
  <c r="K59" i="11" s="1"/>
  <c r="D55" i="1"/>
  <c r="K59" i="12" s="1"/>
  <c r="C55" i="1"/>
  <c r="K59" i="10" s="1"/>
  <c r="G54" i="1"/>
  <c r="K58" i="14" s="1"/>
  <c r="F54" i="1"/>
  <c r="K58" i="13" s="1"/>
  <c r="E54" i="1"/>
  <c r="K58" i="11" s="1"/>
  <c r="D54" i="1"/>
  <c r="C54" i="1"/>
  <c r="K58" i="10" s="1"/>
  <c r="G53" i="1"/>
  <c r="K57" i="14" s="1"/>
  <c r="F53" i="1"/>
  <c r="K57" i="13" s="1"/>
  <c r="E53" i="1"/>
  <c r="K57" i="11" s="1"/>
  <c r="D53" i="1"/>
  <c r="K57" i="12" s="1"/>
  <c r="C53" i="1"/>
  <c r="K57" i="10" s="1"/>
  <c r="G52" i="1"/>
  <c r="K56" i="14" s="1"/>
  <c r="F52" i="1"/>
  <c r="K56" i="13" s="1"/>
  <c r="E52" i="1"/>
  <c r="K56" i="11" s="1"/>
  <c r="D52" i="1"/>
  <c r="K56" i="12" s="1"/>
  <c r="C52" i="1"/>
  <c r="K56" i="10" s="1"/>
  <c r="G51" i="1"/>
  <c r="K55" i="14" s="1"/>
  <c r="F51" i="1"/>
  <c r="K55" i="13" s="1"/>
  <c r="E51" i="1"/>
  <c r="K55" i="11" s="1"/>
  <c r="D51" i="1"/>
  <c r="K55" i="12" s="1"/>
  <c r="C51" i="1"/>
  <c r="G50" i="1"/>
  <c r="K54" i="14" s="1"/>
  <c r="F50" i="1"/>
  <c r="K54" i="13" s="1"/>
  <c r="E50" i="1"/>
  <c r="K54" i="11" s="1"/>
  <c r="D50" i="1"/>
  <c r="K54" i="12" s="1"/>
  <c r="C50" i="1"/>
  <c r="K54" i="10" s="1"/>
  <c r="G49" i="1"/>
  <c r="K53" i="14" s="1"/>
  <c r="F49" i="1"/>
  <c r="K53" i="13" s="1"/>
  <c r="E49" i="1"/>
  <c r="D49" i="1"/>
  <c r="K53" i="12" s="1"/>
  <c r="C49" i="1"/>
  <c r="K53" i="10" s="1"/>
  <c r="G48" i="1"/>
  <c r="K52" i="14" s="1"/>
  <c r="F48" i="1"/>
  <c r="K52" i="13" s="1"/>
  <c r="E48" i="1"/>
  <c r="K52" i="11" s="1"/>
  <c r="D48" i="1"/>
  <c r="K52" i="12" s="1"/>
  <c r="C48" i="1"/>
  <c r="K52" i="10" s="1"/>
  <c r="G47" i="1"/>
  <c r="K51" i="14" s="1"/>
  <c r="F47" i="1"/>
  <c r="K51" i="13" s="1"/>
  <c r="E47" i="1"/>
  <c r="K51" i="11" s="1"/>
  <c r="D47" i="1"/>
  <c r="K51" i="12" s="1"/>
  <c r="C47" i="1"/>
  <c r="K51" i="10" s="1"/>
  <c r="G46" i="1"/>
  <c r="K50" i="14" s="1"/>
  <c r="F46" i="1"/>
  <c r="K50" i="13" s="1"/>
  <c r="E46" i="1"/>
  <c r="K50" i="11" s="1"/>
  <c r="D46" i="1"/>
  <c r="C46" i="1"/>
  <c r="K50" i="10" s="1"/>
  <c r="G45" i="1"/>
  <c r="K49" i="14" s="1"/>
  <c r="F45" i="1"/>
  <c r="K49" i="13" s="1"/>
  <c r="E45" i="1"/>
  <c r="K49" i="11" s="1"/>
  <c r="D45" i="1"/>
  <c r="K49" i="12" s="1"/>
  <c r="C45" i="1"/>
  <c r="K49" i="10" s="1"/>
  <c r="G44" i="1"/>
  <c r="K48" i="14" s="1"/>
  <c r="F44" i="1"/>
  <c r="K48" i="13" s="1"/>
  <c r="E44" i="1"/>
  <c r="D44" i="1"/>
  <c r="K48" i="12" s="1"/>
  <c r="C44" i="1"/>
  <c r="K48" i="10" s="1"/>
  <c r="G43" i="1"/>
  <c r="K47" i="14" s="1"/>
  <c r="F43" i="1"/>
  <c r="K47" i="13" s="1"/>
  <c r="E43" i="1"/>
  <c r="K47" i="11" s="1"/>
  <c r="D43" i="1"/>
  <c r="K47" i="12" s="1"/>
  <c r="C43" i="1"/>
  <c r="G42" i="1"/>
  <c r="K46" i="14" s="1"/>
  <c r="F42" i="1"/>
  <c r="K46" i="13" s="1"/>
  <c r="E42" i="1"/>
  <c r="K46" i="11" s="1"/>
  <c r="D42" i="1"/>
  <c r="K46" i="12" s="1"/>
  <c r="C42" i="1"/>
  <c r="K46" i="10" s="1"/>
  <c r="G41" i="1"/>
  <c r="K45" i="14" s="1"/>
  <c r="F41" i="1"/>
  <c r="K45" i="13" s="1"/>
  <c r="E41" i="1"/>
  <c r="D41" i="1"/>
  <c r="K45" i="12" s="1"/>
  <c r="C41" i="1"/>
  <c r="K45" i="10" s="1"/>
  <c r="G40" i="1"/>
  <c r="K44" i="14" s="1"/>
  <c r="F40" i="1"/>
  <c r="K44" i="13" s="1"/>
  <c r="E40" i="1"/>
  <c r="K44" i="11" s="1"/>
  <c r="D40" i="1"/>
  <c r="K44" i="12" s="1"/>
  <c r="C40" i="1"/>
  <c r="K44" i="10" s="1"/>
  <c r="G39" i="1"/>
  <c r="K43" i="14" s="1"/>
  <c r="F39" i="1"/>
  <c r="K43" i="13" s="1"/>
  <c r="E39" i="1"/>
  <c r="K43" i="11" s="1"/>
  <c r="D39" i="1"/>
  <c r="K43" i="12" s="1"/>
  <c r="C39" i="1"/>
  <c r="K43" i="10" s="1"/>
  <c r="G38" i="1"/>
  <c r="K42" i="14" s="1"/>
  <c r="F38" i="1"/>
  <c r="K42" i="13" s="1"/>
  <c r="E38" i="1"/>
  <c r="K42" i="11" s="1"/>
  <c r="D38" i="1"/>
  <c r="C38" i="1"/>
  <c r="K42" i="10" s="1"/>
  <c r="G37" i="1"/>
  <c r="K41" i="14" s="1"/>
  <c r="F37" i="1"/>
  <c r="K41" i="13" s="1"/>
  <c r="E37" i="1"/>
  <c r="K41" i="11" s="1"/>
  <c r="D37" i="1"/>
  <c r="K41" i="12" s="1"/>
  <c r="C37" i="1"/>
  <c r="K41" i="10" s="1"/>
  <c r="G36" i="1"/>
  <c r="K40" i="14" s="1"/>
  <c r="F36" i="1"/>
  <c r="E36" i="1"/>
  <c r="K40" i="11" s="1"/>
  <c r="D36" i="1"/>
  <c r="K40" i="12" s="1"/>
  <c r="C36" i="1"/>
  <c r="K40" i="10" s="1"/>
  <c r="G35" i="1"/>
  <c r="K39" i="14" s="1"/>
  <c r="F35" i="1"/>
  <c r="K39" i="13" s="1"/>
  <c r="E35" i="1"/>
  <c r="K39" i="11" s="1"/>
  <c r="D35" i="1"/>
  <c r="K39" i="12" s="1"/>
  <c r="C35" i="1"/>
  <c r="G34" i="1"/>
  <c r="K38" i="14" s="1"/>
  <c r="F34" i="1"/>
  <c r="K38" i="13" s="1"/>
  <c r="E34" i="1"/>
  <c r="K38" i="11" s="1"/>
  <c r="D34" i="1"/>
  <c r="K38" i="12" s="1"/>
  <c r="C34" i="1"/>
  <c r="K38" i="10" s="1"/>
  <c r="G33" i="1"/>
  <c r="K37" i="14" s="1"/>
  <c r="F33" i="1"/>
  <c r="K37" i="13" s="1"/>
  <c r="E33" i="1"/>
  <c r="K37" i="11" s="1"/>
  <c r="D33" i="1"/>
  <c r="K37" i="12" s="1"/>
  <c r="C33" i="1"/>
  <c r="K37" i="10" s="1"/>
  <c r="G32" i="1"/>
  <c r="K36" i="14" s="1"/>
  <c r="F32" i="1"/>
  <c r="K36" i="13" s="1"/>
  <c r="E32" i="1"/>
  <c r="K36" i="11" s="1"/>
  <c r="D32" i="1"/>
  <c r="K36" i="12" s="1"/>
  <c r="C32" i="1"/>
  <c r="K36" i="10" s="1"/>
  <c r="G31" i="1"/>
  <c r="K35" i="14" s="1"/>
  <c r="F31" i="1"/>
  <c r="K35" i="13" s="1"/>
  <c r="E31" i="1"/>
  <c r="K35" i="11" s="1"/>
  <c r="D31" i="1"/>
  <c r="K35" i="12" s="1"/>
  <c r="C31" i="1"/>
  <c r="K35" i="10" s="1"/>
  <c r="G30" i="1"/>
  <c r="K34" i="14" s="1"/>
  <c r="F30" i="1"/>
  <c r="K34" i="13" s="1"/>
  <c r="E30" i="1"/>
  <c r="K34" i="11" s="1"/>
  <c r="D30" i="1"/>
  <c r="C30" i="1"/>
  <c r="K34" i="10" s="1"/>
  <c r="G29" i="1"/>
  <c r="K33" i="14" s="1"/>
  <c r="F29" i="1"/>
  <c r="K33" i="13" s="1"/>
  <c r="E29" i="1"/>
  <c r="K33" i="11" s="1"/>
  <c r="D29" i="1"/>
  <c r="K33" i="12" s="1"/>
  <c r="C29" i="1"/>
  <c r="K33" i="10" s="1"/>
  <c r="G28" i="1"/>
  <c r="K32" i="14" s="1"/>
  <c r="F28" i="1"/>
  <c r="K32" i="13" s="1"/>
  <c r="E28" i="1"/>
  <c r="K32" i="11" s="1"/>
  <c r="D28" i="1"/>
  <c r="K32" i="12" s="1"/>
  <c r="C28" i="1"/>
  <c r="K32" i="10" s="1"/>
  <c r="G27" i="1"/>
  <c r="K31" i="14" s="1"/>
  <c r="F27" i="1"/>
  <c r="K31" i="13" s="1"/>
  <c r="E27" i="1"/>
  <c r="K31" i="11" s="1"/>
  <c r="D27" i="1"/>
  <c r="K31" i="12" s="1"/>
  <c r="C27" i="1"/>
  <c r="G26" i="1"/>
  <c r="K30" i="14" s="1"/>
  <c r="F26" i="1"/>
  <c r="K30" i="13" s="1"/>
  <c r="E26" i="1"/>
  <c r="K30" i="11" s="1"/>
  <c r="D26" i="1"/>
  <c r="K30" i="12" s="1"/>
  <c r="C26" i="1"/>
  <c r="K30" i="10" s="1"/>
  <c r="G25" i="1"/>
  <c r="K29" i="14" s="1"/>
  <c r="F25" i="1"/>
  <c r="K29" i="13" s="1"/>
  <c r="E25" i="1"/>
  <c r="K29" i="11" s="1"/>
  <c r="D25" i="1"/>
  <c r="K29" i="12" s="1"/>
  <c r="C25" i="1"/>
  <c r="K29" i="10" s="1"/>
  <c r="G24" i="1"/>
  <c r="K28" i="14" s="1"/>
  <c r="F24" i="1"/>
  <c r="K28" i="13" s="1"/>
  <c r="E24" i="1"/>
  <c r="K28" i="11" s="1"/>
  <c r="D24" i="1"/>
  <c r="K28" i="12" s="1"/>
  <c r="C24" i="1"/>
  <c r="K28" i="10" s="1"/>
  <c r="G23" i="1"/>
  <c r="F23" i="1"/>
  <c r="K27" i="13" s="1"/>
  <c r="E23" i="1"/>
  <c r="K27" i="11" s="1"/>
  <c r="D23" i="1"/>
  <c r="K27" i="12" s="1"/>
  <c r="C23" i="1"/>
  <c r="K27" i="10" s="1"/>
  <c r="G22" i="1"/>
  <c r="K26" i="14" s="1"/>
  <c r="F22" i="1"/>
  <c r="K26" i="13" s="1"/>
  <c r="E22" i="1"/>
  <c r="K26" i="11" s="1"/>
  <c r="D22" i="1"/>
  <c r="C22" i="1"/>
  <c r="K26" i="10" s="1"/>
  <c r="G21" i="1"/>
  <c r="K25" i="14" s="1"/>
  <c r="F21" i="1"/>
  <c r="K25" i="13" s="1"/>
  <c r="E21" i="1"/>
  <c r="K25" i="11" s="1"/>
  <c r="D21" i="1"/>
  <c r="K25" i="12" s="1"/>
  <c r="C21" i="1"/>
  <c r="K25" i="10" s="1"/>
  <c r="G20" i="1"/>
  <c r="K24" i="14" s="1"/>
  <c r="F20" i="1"/>
  <c r="K24" i="13" s="1"/>
  <c r="E20" i="1"/>
  <c r="K24" i="11" s="1"/>
  <c r="D20" i="1"/>
  <c r="K24" i="12" s="1"/>
  <c r="C20" i="1"/>
  <c r="K24" i="10" s="1"/>
  <c r="G19" i="1"/>
  <c r="K23" i="14" s="1"/>
  <c r="F19" i="1"/>
  <c r="K23" i="13" s="1"/>
  <c r="E19" i="1"/>
  <c r="K23" i="11" s="1"/>
  <c r="D19" i="1"/>
  <c r="K23" i="12" s="1"/>
  <c r="C19" i="1"/>
  <c r="G18" i="1"/>
  <c r="K22" i="14" s="1"/>
  <c r="F18" i="1"/>
  <c r="K22" i="13" s="1"/>
  <c r="E18" i="1"/>
  <c r="K22" i="11" s="1"/>
  <c r="D18" i="1"/>
  <c r="K22" i="12" s="1"/>
  <c r="C18" i="1"/>
  <c r="K22" i="10" s="1"/>
  <c r="G17" i="1"/>
  <c r="K21" i="14" s="1"/>
  <c r="F17" i="1"/>
  <c r="K21" i="13" s="1"/>
  <c r="E17" i="1"/>
  <c r="K21" i="11" s="1"/>
  <c r="D17" i="1"/>
  <c r="K21" i="12" s="1"/>
  <c r="C17" i="1"/>
  <c r="K21" i="10" s="1"/>
  <c r="G16" i="1"/>
  <c r="K20" i="14" s="1"/>
  <c r="F16" i="1"/>
  <c r="K20" i="13" s="1"/>
  <c r="E16" i="1"/>
  <c r="K20" i="11" s="1"/>
  <c r="D16" i="1"/>
  <c r="K20" i="12" s="1"/>
  <c r="C16" i="1"/>
  <c r="K20" i="10" s="1"/>
  <c r="G15" i="1"/>
  <c r="F15" i="1"/>
  <c r="K19" i="13" s="1"/>
  <c r="E15" i="1"/>
  <c r="K19" i="11" s="1"/>
  <c r="D15" i="1"/>
  <c r="K19" i="12" s="1"/>
  <c r="C15" i="1"/>
  <c r="K19" i="10" s="1"/>
  <c r="G14" i="1"/>
  <c r="K18" i="14" s="1"/>
  <c r="F14" i="1"/>
  <c r="K18" i="13" s="1"/>
  <c r="E14" i="1"/>
  <c r="K18" i="11" s="1"/>
  <c r="D14" i="1"/>
  <c r="C14" i="1"/>
  <c r="K18" i="10" s="1"/>
  <c r="G13" i="1"/>
  <c r="K17" i="14" s="1"/>
  <c r="F13" i="1"/>
  <c r="K17" i="13" s="1"/>
  <c r="E13" i="1"/>
  <c r="K17" i="11" s="1"/>
  <c r="D13" i="1"/>
  <c r="K17" i="12" s="1"/>
  <c r="C13" i="1"/>
  <c r="K17" i="10" s="1"/>
  <c r="G12" i="1"/>
  <c r="K16" i="14" s="1"/>
  <c r="F12" i="1"/>
  <c r="K16" i="13" s="1"/>
  <c r="E12" i="1"/>
  <c r="K16" i="11" s="1"/>
  <c r="D12" i="1"/>
  <c r="K16" i="12" s="1"/>
  <c r="C12" i="1"/>
  <c r="K16" i="10" s="1"/>
  <c r="G11" i="1"/>
  <c r="K15" i="14" s="1"/>
  <c r="F11" i="1"/>
  <c r="K15" i="13" s="1"/>
  <c r="E11" i="1"/>
  <c r="K15" i="11" s="1"/>
  <c r="D11" i="1"/>
  <c r="K15" i="12" s="1"/>
  <c r="C11" i="1"/>
  <c r="G10" i="1"/>
  <c r="K14" i="14" s="1"/>
  <c r="F10" i="1"/>
  <c r="K14" i="13" s="1"/>
  <c r="E10" i="1"/>
  <c r="K14" i="11" s="1"/>
  <c r="D10" i="1"/>
  <c r="K14" i="12" s="1"/>
  <c r="C10" i="1"/>
  <c r="K14" i="10" s="1"/>
  <c r="G62" i="16"/>
  <c r="L66" i="14" s="1"/>
  <c r="F62" i="16"/>
  <c r="L66" i="13" s="1"/>
  <c r="E62" i="16"/>
  <c r="L66" i="11" s="1"/>
  <c r="D62" i="16"/>
  <c r="L66" i="12" s="1"/>
  <c r="C62" i="16"/>
  <c r="L66" i="10" s="1"/>
  <c r="G61" i="16"/>
  <c r="L65" i="14" s="1"/>
  <c r="F61" i="16"/>
  <c r="L65" i="13" s="1"/>
  <c r="E61" i="16"/>
  <c r="L65" i="11" s="1"/>
  <c r="D61" i="16"/>
  <c r="L65" i="12" s="1"/>
  <c r="C61" i="16"/>
  <c r="L65" i="10" s="1"/>
  <c r="G60" i="16"/>
  <c r="L64" i="14" s="1"/>
  <c r="F60" i="16"/>
  <c r="L64" i="13" s="1"/>
  <c r="E60" i="16"/>
  <c r="L64" i="11" s="1"/>
  <c r="D60" i="16"/>
  <c r="L64" i="12" s="1"/>
  <c r="C60" i="16"/>
  <c r="L64" i="10" s="1"/>
  <c r="G59" i="16"/>
  <c r="L63" i="14" s="1"/>
  <c r="F59" i="16"/>
  <c r="L63" i="13" s="1"/>
  <c r="E59" i="16"/>
  <c r="L63" i="11" s="1"/>
  <c r="D59" i="16"/>
  <c r="C59" i="16"/>
  <c r="L63" i="10" s="1"/>
  <c r="G58" i="16"/>
  <c r="L62" i="14" s="1"/>
  <c r="F58" i="16"/>
  <c r="L62" i="13" s="1"/>
  <c r="E58" i="16"/>
  <c r="L62" i="11" s="1"/>
  <c r="D58" i="16"/>
  <c r="L62" i="12" s="1"/>
  <c r="C58" i="16"/>
  <c r="L62" i="10" s="1"/>
  <c r="G57" i="16"/>
  <c r="L61" i="14" s="1"/>
  <c r="F57" i="16"/>
  <c r="L61" i="13" s="1"/>
  <c r="E57" i="16"/>
  <c r="L61" i="11" s="1"/>
  <c r="D57" i="16"/>
  <c r="L61" i="12" s="1"/>
  <c r="C57" i="16"/>
  <c r="L61" i="10" s="1"/>
  <c r="G56" i="16"/>
  <c r="L60" i="14" s="1"/>
  <c r="F56" i="16"/>
  <c r="L60" i="13" s="1"/>
  <c r="E56" i="16"/>
  <c r="L60" i="11" s="1"/>
  <c r="D56" i="16"/>
  <c r="L60" i="12" s="1"/>
  <c r="C56" i="16"/>
  <c r="G55" i="16"/>
  <c r="L59" i="14" s="1"/>
  <c r="F55" i="16"/>
  <c r="L59" i="13" s="1"/>
  <c r="E55" i="16"/>
  <c r="L59" i="11" s="1"/>
  <c r="D55" i="16"/>
  <c r="L59" i="12" s="1"/>
  <c r="C55" i="16"/>
  <c r="L59" i="10" s="1"/>
  <c r="G54" i="16"/>
  <c r="L58" i="14" s="1"/>
  <c r="F54" i="16"/>
  <c r="L58" i="13" s="1"/>
  <c r="E54" i="16"/>
  <c r="D54" i="16"/>
  <c r="L58" i="12" s="1"/>
  <c r="C54" i="16"/>
  <c r="L58" i="10" s="1"/>
  <c r="G53" i="16"/>
  <c r="L57" i="14" s="1"/>
  <c r="F53" i="16"/>
  <c r="L57" i="13" s="1"/>
  <c r="E53" i="16"/>
  <c r="L57" i="11" s="1"/>
  <c r="D53" i="16"/>
  <c r="L57" i="12" s="1"/>
  <c r="C53" i="16"/>
  <c r="L57" i="10" s="1"/>
  <c r="G52" i="16"/>
  <c r="L56" i="14" s="1"/>
  <c r="F52" i="16"/>
  <c r="L56" i="13" s="1"/>
  <c r="E52" i="16"/>
  <c r="L56" i="11" s="1"/>
  <c r="D52" i="16"/>
  <c r="L56" i="12" s="1"/>
  <c r="C52" i="16"/>
  <c r="L56" i="10" s="1"/>
  <c r="G51" i="16"/>
  <c r="L55" i="14" s="1"/>
  <c r="F51" i="16"/>
  <c r="L55" i="13" s="1"/>
  <c r="E51" i="16"/>
  <c r="L55" i="11" s="1"/>
  <c r="D51" i="16"/>
  <c r="C51" i="16"/>
  <c r="L55" i="10" s="1"/>
  <c r="G50" i="16"/>
  <c r="L54" i="14" s="1"/>
  <c r="F50" i="16"/>
  <c r="L54" i="13" s="1"/>
  <c r="E50" i="16"/>
  <c r="L54" i="11" s="1"/>
  <c r="D50" i="16"/>
  <c r="L54" i="12" s="1"/>
  <c r="C50" i="16"/>
  <c r="L54" i="10" s="1"/>
  <c r="G49" i="16"/>
  <c r="L53" i="14" s="1"/>
  <c r="F49" i="16"/>
  <c r="L53" i="13" s="1"/>
  <c r="E49" i="16"/>
  <c r="L53" i="11" s="1"/>
  <c r="D49" i="16"/>
  <c r="L53" i="12" s="1"/>
  <c r="C49" i="16"/>
  <c r="L53" i="10" s="1"/>
  <c r="G48" i="16"/>
  <c r="L52" i="14" s="1"/>
  <c r="F48" i="16"/>
  <c r="L52" i="13" s="1"/>
  <c r="E48" i="16"/>
  <c r="L52" i="11" s="1"/>
  <c r="D48" i="16"/>
  <c r="L52" i="12" s="1"/>
  <c r="C48" i="16"/>
  <c r="G47" i="16"/>
  <c r="L51" i="14" s="1"/>
  <c r="F47" i="16"/>
  <c r="L51" i="13" s="1"/>
  <c r="E47" i="16"/>
  <c r="L51" i="11" s="1"/>
  <c r="D47" i="16"/>
  <c r="L51" i="12" s="1"/>
  <c r="C47" i="16"/>
  <c r="L51" i="10" s="1"/>
  <c r="G46" i="16"/>
  <c r="L50" i="14" s="1"/>
  <c r="F46" i="16"/>
  <c r="L50" i="13" s="1"/>
  <c r="E46" i="16"/>
  <c r="D46" i="16"/>
  <c r="L50" i="12" s="1"/>
  <c r="C46" i="16"/>
  <c r="L50" i="10" s="1"/>
  <c r="G45" i="16"/>
  <c r="L49" i="14" s="1"/>
  <c r="F45" i="16"/>
  <c r="L49" i="13" s="1"/>
  <c r="E45" i="16"/>
  <c r="L49" i="11" s="1"/>
  <c r="D45" i="16"/>
  <c r="L49" i="12" s="1"/>
  <c r="C45" i="16"/>
  <c r="L49" i="10" s="1"/>
  <c r="G44" i="16"/>
  <c r="F44" i="16"/>
  <c r="L48" i="13" s="1"/>
  <c r="E44" i="16"/>
  <c r="L48" i="11" s="1"/>
  <c r="D44" i="16"/>
  <c r="L48" i="12" s="1"/>
  <c r="C44" i="16"/>
  <c r="L48" i="10" s="1"/>
  <c r="G43" i="16"/>
  <c r="L47" i="14" s="1"/>
  <c r="F43" i="16"/>
  <c r="L47" i="13" s="1"/>
  <c r="E43" i="16"/>
  <c r="L47" i="11" s="1"/>
  <c r="D43" i="16"/>
  <c r="C43" i="16"/>
  <c r="L47" i="10" s="1"/>
  <c r="G42" i="16"/>
  <c r="L46" i="14" s="1"/>
  <c r="F42" i="16"/>
  <c r="L46" i="13" s="1"/>
  <c r="E42" i="16"/>
  <c r="L46" i="11" s="1"/>
  <c r="D42" i="16"/>
  <c r="L46" i="12" s="1"/>
  <c r="C42" i="16"/>
  <c r="L46" i="10" s="1"/>
  <c r="G41" i="16"/>
  <c r="L45" i="14" s="1"/>
  <c r="F41" i="16"/>
  <c r="E41" i="16"/>
  <c r="D41" i="16"/>
  <c r="L45" i="12" s="1"/>
  <c r="C41" i="16"/>
  <c r="L45" i="10" s="1"/>
  <c r="G40" i="16"/>
  <c r="L44" i="14" s="1"/>
  <c r="F40" i="16"/>
  <c r="L44" i="13" s="1"/>
  <c r="E40" i="16"/>
  <c r="L44" i="11" s="1"/>
  <c r="D40" i="16"/>
  <c r="L44" i="12" s="1"/>
  <c r="C40" i="16"/>
  <c r="G39" i="16"/>
  <c r="L43" i="14" s="1"/>
  <c r="F39" i="16"/>
  <c r="L43" i="13" s="1"/>
  <c r="E39" i="16"/>
  <c r="L43" i="11" s="1"/>
  <c r="D39" i="16"/>
  <c r="L43" i="12" s="1"/>
  <c r="C39" i="16"/>
  <c r="L43" i="10" s="1"/>
  <c r="G38" i="16"/>
  <c r="L42" i="14" s="1"/>
  <c r="F38" i="16"/>
  <c r="L42" i="13" s="1"/>
  <c r="E38" i="16"/>
  <c r="L42" i="11" s="1"/>
  <c r="D38" i="16"/>
  <c r="L42" i="12" s="1"/>
  <c r="C38" i="16"/>
  <c r="L42" i="10" s="1"/>
  <c r="G37" i="16"/>
  <c r="L41" i="14" s="1"/>
  <c r="F37" i="16"/>
  <c r="L41" i="13" s="1"/>
  <c r="E37" i="16"/>
  <c r="L41" i="11" s="1"/>
  <c r="D37" i="16"/>
  <c r="L41" i="12" s="1"/>
  <c r="C37" i="16"/>
  <c r="L41" i="10" s="1"/>
  <c r="G36" i="16"/>
  <c r="F36" i="16"/>
  <c r="L40" i="13" s="1"/>
  <c r="E36" i="16"/>
  <c r="L40" i="11" s="1"/>
  <c r="D36" i="16"/>
  <c r="L40" i="12" s="1"/>
  <c r="C36" i="16"/>
  <c r="L40" i="10" s="1"/>
  <c r="G35" i="16"/>
  <c r="L39" i="14" s="1"/>
  <c r="F35" i="16"/>
  <c r="L39" i="13" s="1"/>
  <c r="E35" i="16"/>
  <c r="L39" i="11" s="1"/>
  <c r="D35" i="16"/>
  <c r="C35" i="16"/>
  <c r="L39" i="10" s="1"/>
  <c r="G34" i="16"/>
  <c r="L38" i="14" s="1"/>
  <c r="F34" i="16"/>
  <c r="L38" i="13" s="1"/>
  <c r="E34" i="16"/>
  <c r="L38" i="11" s="1"/>
  <c r="D34" i="16"/>
  <c r="L38" i="12" s="1"/>
  <c r="C34" i="16"/>
  <c r="L38" i="10" s="1"/>
  <c r="G33" i="16"/>
  <c r="L37" i="14" s="1"/>
  <c r="F33" i="16"/>
  <c r="L37" i="13" s="1"/>
  <c r="E33" i="16"/>
  <c r="L37" i="11" s="1"/>
  <c r="D33" i="16"/>
  <c r="L37" i="12" s="1"/>
  <c r="C33" i="16"/>
  <c r="L37" i="10" s="1"/>
  <c r="G32" i="16"/>
  <c r="L36" i="14" s="1"/>
  <c r="F32" i="16"/>
  <c r="L36" i="13" s="1"/>
  <c r="E32" i="16"/>
  <c r="L36" i="11" s="1"/>
  <c r="D32" i="16"/>
  <c r="L36" i="12" s="1"/>
  <c r="C32" i="16"/>
  <c r="G31" i="16"/>
  <c r="L35" i="14" s="1"/>
  <c r="F31" i="16"/>
  <c r="L35" i="13" s="1"/>
  <c r="E31" i="16"/>
  <c r="L35" i="11" s="1"/>
  <c r="D31" i="16"/>
  <c r="L35" i="12" s="1"/>
  <c r="C31" i="16"/>
  <c r="L35" i="10" s="1"/>
  <c r="G30" i="16"/>
  <c r="L34" i="14" s="1"/>
  <c r="F30" i="16"/>
  <c r="L34" i="13" s="1"/>
  <c r="E30" i="16"/>
  <c r="L34" i="11" s="1"/>
  <c r="D30" i="16"/>
  <c r="L34" i="12" s="1"/>
  <c r="C30" i="16"/>
  <c r="L34" i="10" s="1"/>
  <c r="G29" i="16"/>
  <c r="L33" i="14" s="1"/>
  <c r="F29" i="16"/>
  <c r="L33" i="13" s="1"/>
  <c r="E29" i="16"/>
  <c r="L33" i="11" s="1"/>
  <c r="D29" i="16"/>
  <c r="L33" i="12" s="1"/>
  <c r="C29" i="16"/>
  <c r="L33" i="10" s="1"/>
  <c r="G28" i="16"/>
  <c r="F28" i="16"/>
  <c r="L32" i="13" s="1"/>
  <c r="E28" i="16"/>
  <c r="L32" i="11" s="1"/>
  <c r="D28" i="16"/>
  <c r="L32" i="12" s="1"/>
  <c r="C28" i="16"/>
  <c r="L32" i="10" s="1"/>
  <c r="G27" i="16"/>
  <c r="L31" i="14" s="1"/>
  <c r="F27" i="16"/>
  <c r="L31" i="13" s="1"/>
  <c r="E27" i="16"/>
  <c r="L31" i="11" s="1"/>
  <c r="D27" i="16"/>
  <c r="C27" i="16"/>
  <c r="L31" i="10" s="1"/>
  <c r="G26" i="16"/>
  <c r="L30" i="14" s="1"/>
  <c r="F26" i="16"/>
  <c r="L30" i="13" s="1"/>
  <c r="E26" i="16"/>
  <c r="L30" i="11" s="1"/>
  <c r="D26" i="16"/>
  <c r="L30" i="12" s="1"/>
  <c r="C26" i="16"/>
  <c r="L30" i="10" s="1"/>
  <c r="G25" i="16"/>
  <c r="L29" i="14" s="1"/>
  <c r="F25" i="16"/>
  <c r="L29" i="13" s="1"/>
  <c r="E25" i="16"/>
  <c r="D25" i="16"/>
  <c r="L29" i="12" s="1"/>
  <c r="C25" i="16"/>
  <c r="L29" i="10" s="1"/>
  <c r="G24" i="16"/>
  <c r="L28" i="14" s="1"/>
  <c r="F24" i="16"/>
  <c r="L28" i="13" s="1"/>
  <c r="E24" i="16"/>
  <c r="L28" i="11" s="1"/>
  <c r="D24" i="16"/>
  <c r="L28" i="12" s="1"/>
  <c r="C24" i="16"/>
  <c r="G23" i="16"/>
  <c r="L27" i="14" s="1"/>
  <c r="F23" i="16"/>
  <c r="L27" i="13" s="1"/>
  <c r="E23" i="16"/>
  <c r="L27" i="11" s="1"/>
  <c r="D23" i="16"/>
  <c r="L27" i="12" s="1"/>
  <c r="C23" i="16"/>
  <c r="L27" i="10" s="1"/>
  <c r="G22" i="16"/>
  <c r="L26" i="14" s="1"/>
  <c r="F22" i="16"/>
  <c r="L26" i="13" s="1"/>
  <c r="E22" i="16"/>
  <c r="D22" i="16"/>
  <c r="L26" i="12" s="1"/>
  <c r="C22" i="16"/>
  <c r="L26" i="10" s="1"/>
  <c r="G21" i="16"/>
  <c r="L25" i="14" s="1"/>
  <c r="F21" i="16"/>
  <c r="L25" i="13" s="1"/>
  <c r="E21" i="16"/>
  <c r="L25" i="11" s="1"/>
  <c r="D21" i="16"/>
  <c r="L25" i="12" s="1"/>
  <c r="C21" i="16"/>
  <c r="L25" i="10" s="1"/>
  <c r="G20" i="16"/>
  <c r="L24" i="14" s="1"/>
  <c r="F20" i="16"/>
  <c r="L24" i="13" s="1"/>
  <c r="E20" i="16"/>
  <c r="L24" i="11" s="1"/>
  <c r="D20" i="16"/>
  <c r="L24" i="12" s="1"/>
  <c r="C20" i="16"/>
  <c r="L24" i="10" s="1"/>
  <c r="G19" i="16"/>
  <c r="L23" i="14" s="1"/>
  <c r="F19" i="16"/>
  <c r="L23" i="13" s="1"/>
  <c r="E19" i="16"/>
  <c r="L23" i="11" s="1"/>
  <c r="D19" i="16"/>
  <c r="C19" i="16"/>
  <c r="L23" i="10" s="1"/>
  <c r="G18" i="16"/>
  <c r="L22" i="14" s="1"/>
  <c r="F18" i="16"/>
  <c r="L22" i="13" s="1"/>
  <c r="E18" i="16"/>
  <c r="L22" i="11" s="1"/>
  <c r="D18" i="16"/>
  <c r="L22" i="12" s="1"/>
  <c r="C18" i="16"/>
  <c r="L22" i="10" s="1"/>
  <c r="G17" i="16"/>
  <c r="L21" i="14" s="1"/>
  <c r="F17" i="16"/>
  <c r="L21" i="13" s="1"/>
  <c r="E17" i="16"/>
  <c r="L21" i="11" s="1"/>
  <c r="D17" i="16"/>
  <c r="L21" i="12" s="1"/>
  <c r="C17" i="16"/>
  <c r="L21" i="10" s="1"/>
  <c r="G16" i="16"/>
  <c r="L20" i="14" s="1"/>
  <c r="F16" i="16"/>
  <c r="L20" i="13" s="1"/>
  <c r="E16" i="16"/>
  <c r="L20" i="11" s="1"/>
  <c r="D16" i="16"/>
  <c r="L20" i="12" s="1"/>
  <c r="C16" i="16"/>
  <c r="G15" i="16"/>
  <c r="L19" i="14" s="1"/>
  <c r="F15" i="16"/>
  <c r="L19" i="13" s="1"/>
  <c r="E15" i="16"/>
  <c r="L19" i="11" s="1"/>
  <c r="D15" i="16"/>
  <c r="L19" i="12" s="1"/>
  <c r="C15" i="16"/>
  <c r="L19" i="10" s="1"/>
  <c r="G14" i="16"/>
  <c r="L18" i="14" s="1"/>
  <c r="F14" i="16"/>
  <c r="L18" i="13" s="1"/>
  <c r="E14" i="16"/>
  <c r="D14" i="16"/>
  <c r="L18" i="12" s="1"/>
  <c r="C14" i="16"/>
  <c r="L18" i="10" s="1"/>
  <c r="G13" i="16"/>
  <c r="L17" i="14" s="1"/>
  <c r="F13" i="16"/>
  <c r="L17" i="13" s="1"/>
  <c r="E13" i="16"/>
  <c r="L17" i="11" s="1"/>
  <c r="D13" i="16"/>
  <c r="L17" i="12" s="1"/>
  <c r="C13" i="16"/>
  <c r="L17" i="10" s="1"/>
  <c r="G12" i="16"/>
  <c r="F12" i="16"/>
  <c r="L16" i="13" s="1"/>
  <c r="E12" i="16"/>
  <c r="L16" i="11" s="1"/>
  <c r="D12" i="16"/>
  <c r="L16" i="12" s="1"/>
  <c r="C12" i="16"/>
  <c r="L16" i="10" s="1"/>
  <c r="G11" i="16"/>
  <c r="L15" i="14" s="1"/>
  <c r="F11" i="16"/>
  <c r="L15" i="13" s="1"/>
  <c r="E11" i="16"/>
  <c r="L15" i="11" s="1"/>
  <c r="D11" i="16"/>
  <c r="C11" i="16"/>
  <c r="L15" i="10" s="1"/>
  <c r="G10" i="16"/>
  <c r="L14" i="14" s="1"/>
  <c r="F10" i="16"/>
  <c r="L14" i="13" s="1"/>
  <c r="E10" i="16"/>
  <c r="L14" i="11" s="1"/>
  <c r="D10" i="16"/>
  <c r="L14" i="12" s="1"/>
  <c r="C10" i="16"/>
  <c r="L14" i="10" s="1"/>
  <c r="G62" i="17"/>
  <c r="M66" i="14" s="1"/>
  <c r="F62" i="17"/>
  <c r="M66" i="13" s="1"/>
  <c r="E62" i="17"/>
  <c r="M66" i="11" s="1"/>
  <c r="D62" i="17"/>
  <c r="M66" i="12" s="1"/>
  <c r="C62" i="17"/>
  <c r="M66" i="10" s="1"/>
  <c r="G61" i="17"/>
  <c r="M65" i="14" s="1"/>
  <c r="F61" i="17"/>
  <c r="M65" i="13" s="1"/>
  <c r="E61" i="17"/>
  <c r="M65" i="11" s="1"/>
  <c r="D61" i="17"/>
  <c r="M65" i="12" s="1"/>
  <c r="C61" i="17"/>
  <c r="G60" i="17"/>
  <c r="M64" i="14" s="1"/>
  <c r="F60" i="17"/>
  <c r="M64" i="13" s="1"/>
  <c r="E60" i="17"/>
  <c r="M64" i="11" s="1"/>
  <c r="D60" i="17"/>
  <c r="M64" i="12" s="1"/>
  <c r="C60" i="17"/>
  <c r="M64" i="10" s="1"/>
  <c r="G59" i="17"/>
  <c r="M63" i="14" s="1"/>
  <c r="F59" i="17"/>
  <c r="M63" i="13" s="1"/>
  <c r="E59" i="17"/>
  <c r="M63" i="11" s="1"/>
  <c r="D59" i="17"/>
  <c r="M63" i="12" s="1"/>
  <c r="C59" i="17"/>
  <c r="M63" i="10" s="1"/>
  <c r="G58" i="17"/>
  <c r="M62" i="14" s="1"/>
  <c r="F58" i="17"/>
  <c r="M62" i="13" s="1"/>
  <c r="E58" i="17"/>
  <c r="M62" i="11" s="1"/>
  <c r="D58" i="17"/>
  <c r="M62" i="12" s="1"/>
  <c r="C58" i="17"/>
  <c r="M62" i="10" s="1"/>
  <c r="G57" i="17"/>
  <c r="M61" i="14" s="1"/>
  <c r="F57" i="17"/>
  <c r="M61" i="13" s="1"/>
  <c r="E57" i="17"/>
  <c r="M61" i="11" s="1"/>
  <c r="D57" i="17"/>
  <c r="M61" i="12" s="1"/>
  <c r="C57" i="17"/>
  <c r="M61" i="10" s="1"/>
  <c r="G56" i="17"/>
  <c r="M60" i="14" s="1"/>
  <c r="F56" i="17"/>
  <c r="M60" i="13" s="1"/>
  <c r="E56" i="17"/>
  <c r="M60" i="11" s="1"/>
  <c r="D56" i="17"/>
  <c r="M60" i="12" s="1"/>
  <c r="C56" i="17"/>
  <c r="M60" i="10" s="1"/>
  <c r="G55" i="17"/>
  <c r="M59" i="14" s="1"/>
  <c r="F55" i="17"/>
  <c r="M59" i="13" s="1"/>
  <c r="E55" i="17"/>
  <c r="M59" i="11" s="1"/>
  <c r="D55" i="17"/>
  <c r="M59" i="12" s="1"/>
  <c r="C55" i="17"/>
  <c r="M59" i="10" s="1"/>
  <c r="G54" i="17"/>
  <c r="M58" i="14" s="1"/>
  <c r="F54" i="17"/>
  <c r="M58" i="13" s="1"/>
  <c r="E54" i="17"/>
  <c r="M58" i="11" s="1"/>
  <c r="D54" i="17"/>
  <c r="M58" i="12" s="1"/>
  <c r="C54" i="17"/>
  <c r="M58" i="10" s="1"/>
  <c r="G53" i="17"/>
  <c r="M57" i="14" s="1"/>
  <c r="F53" i="17"/>
  <c r="M57" i="13" s="1"/>
  <c r="E53" i="17"/>
  <c r="M57" i="11" s="1"/>
  <c r="D53" i="17"/>
  <c r="M57" i="12" s="1"/>
  <c r="C53" i="17"/>
  <c r="G52" i="17"/>
  <c r="M56" i="14" s="1"/>
  <c r="F52" i="17"/>
  <c r="M56" i="13" s="1"/>
  <c r="E52" i="17"/>
  <c r="M56" i="11" s="1"/>
  <c r="D52" i="17"/>
  <c r="M56" i="12" s="1"/>
  <c r="C52" i="17"/>
  <c r="M56" i="10" s="1"/>
  <c r="G51" i="17"/>
  <c r="M55" i="14" s="1"/>
  <c r="F51" i="17"/>
  <c r="M55" i="13" s="1"/>
  <c r="E51" i="17"/>
  <c r="M55" i="11" s="1"/>
  <c r="D51" i="17"/>
  <c r="M55" i="12" s="1"/>
  <c r="C51" i="17"/>
  <c r="M55" i="10" s="1"/>
  <c r="G50" i="17"/>
  <c r="M54" i="14" s="1"/>
  <c r="F50" i="17"/>
  <c r="M54" i="13" s="1"/>
  <c r="E50" i="17"/>
  <c r="M54" i="11" s="1"/>
  <c r="D50" i="17"/>
  <c r="M54" i="12" s="1"/>
  <c r="C50" i="17"/>
  <c r="M54" i="10" s="1"/>
  <c r="G49" i="17"/>
  <c r="M53" i="14" s="1"/>
  <c r="F49" i="17"/>
  <c r="M53" i="13" s="1"/>
  <c r="E49" i="17"/>
  <c r="M53" i="11" s="1"/>
  <c r="D49" i="17"/>
  <c r="M53" i="12" s="1"/>
  <c r="C49" i="17"/>
  <c r="M53" i="10" s="1"/>
  <c r="G48" i="17"/>
  <c r="M52" i="14" s="1"/>
  <c r="F48" i="17"/>
  <c r="M52" i="13" s="1"/>
  <c r="E48" i="17"/>
  <c r="M52" i="11" s="1"/>
  <c r="D48" i="17"/>
  <c r="C48" i="17"/>
  <c r="M52" i="10" s="1"/>
  <c r="G47" i="17"/>
  <c r="M51" i="14" s="1"/>
  <c r="F47" i="17"/>
  <c r="M51" i="13" s="1"/>
  <c r="E47" i="17"/>
  <c r="M51" i="11" s="1"/>
  <c r="D47" i="17"/>
  <c r="M51" i="12" s="1"/>
  <c r="C47" i="17"/>
  <c r="M51" i="10" s="1"/>
  <c r="G46" i="17"/>
  <c r="M50" i="14" s="1"/>
  <c r="F46" i="17"/>
  <c r="E46" i="17"/>
  <c r="M50" i="11" s="1"/>
  <c r="D46" i="17"/>
  <c r="M50" i="12" s="1"/>
  <c r="C46" i="17"/>
  <c r="M50" i="10" s="1"/>
  <c r="G45" i="17"/>
  <c r="M49" i="14" s="1"/>
  <c r="F45" i="17"/>
  <c r="M49" i="13" s="1"/>
  <c r="E45" i="17"/>
  <c r="M49" i="11" s="1"/>
  <c r="D45" i="17"/>
  <c r="M49" i="12" s="1"/>
  <c r="C45" i="17"/>
  <c r="G44" i="17"/>
  <c r="M48" i="14" s="1"/>
  <c r="F44" i="17"/>
  <c r="M48" i="13" s="1"/>
  <c r="E44" i="17"/>
  <c r="M48" i="11" s="1"/>
  <c r="D44" i="17"/>
  <c r="M48" i="12" s="1"/>
  <c r="C44" i="17"/>
  <c r="M48" i="10" s="1"/>
  <c r="G43" i="17"/>
  <c r="M47" i="14" s="1"/>
  <c r="F43" i="17"/>
  <c r="M47" i="13" s="1"/>
  <c r="E43" i="17"/>
  <c r="M47" i="11" s="1"/>
  <c r="D43" i="17"/>
  <c r="C43" i="17"/>
  <c r="M47" i="10" s="1"/>
  <c r="G42" i="17"/>
  <c r="M46" i="14" s="1"/>
  <c r="F42" i="17"/>
  <c r="M46" i="13" s="1"/>
  <c r="E42" i="17"/>
  <c r="M46" i="11" s="1"/>
  <c r="D42" i="17"/>
  <c r="M46" i="12" s="1"/>
  <c r="C42" i="17"/>
  <c r="M46" i="10" s="1"/>
  <c r="G41" i="17"/>
  <c r="F41" i="17"/>
  <c r="M45" i="13" s="1"/>
  <c r="E41" i="17"/>
  <c r="M45" i="11" s="1"/>
  <c r="D41" i="17"/>
  <c r="M45" i="12" s="1"/>
  <c r="C41" i="17"/>
  <c r="M45" i="10" s="1"/>
  <c r="G40" i="17"/>
  <c r="M44" i="14" s="1"/>
  <c r="F40" i="17"/>
  <c r="M44" i="13" s="1"/>
  <c r="E40" i="17"/>
  <c r="M44" i="11" s="1"/>
  <c r="D40" i="17"/>
  <c r="C40" i="17"/>
  <c r="G39" i="17"/>
  <c r="M43" i="14" s="1"/>
  <c r="F39" i="17"/>
  <c r="M43" i="13" s="1"/>
  <c r="E39" i="17"/>
  <c r="M43" i="11" s="1"/>
  <c r="D39" i="17"/>
  <c r="M43" i="12" s="1"/>
  <c r="C39" i="17"/>
  <c r="M43" i="10" s="1"/>
  <c r="G38" i="17"/>
  <c r="M42" i="14" s="1"/>
  <c r="F38" i="17"/>
  <c r="E38" i="17"/>
  <c r="M42" i="11" s="1"/>
  <c r="D38" i="17"/>
  <c r="M42" i="12" s="1"/>
  <c r="C38" i="17"/>
  <c r="M42" i="10" s="1"/>
  <c r="G37" i="17"/>
  <c r="M41" i="14" s="1"/>
  <c r="F37" i="17"/>
  <c r="M41" i="13" s="1"/>
  <c r="E37" i="17"/>
  <c r="M41" i="11" s="1"/>
  <c r="D37" i="17"/>
  <c r="M41" i="12" s="1"/>
  <c r="C37" i="17"/>
  <c r="G36" i="17"/>
  <c r="M40" i="14" s="1"/>
  <c r="F36" i="17"/>
  <c r="M40" i="13" s="1"/>
  <c r="E36" i="17"/>
  <c r="M40" i="11" s="1"/>
  <c r="D36" i="17"/>
  <c r="M40" i="12" s="1"/>
  <c r="C36" i="17"/>
  <c r="M40" i="10" s="1"/>
  <c r="G35" i="17"/>
  <c r="M39" i="14" s="1"/>
  <c r="F35" i="17"/>
  <c r="M39" i="13" s="1"/>
  <c r="E35" i="17"/>
  <c r="D35" i="17"/>
  <c r="M39" i="12" s="1"/>
  <c r="C35" i="17"/>
  <c r="M39" i="10" s="1"/>
  <c r="G34" i="17"/>
  <c r="M38" i="14" s="1"/>
  <c r="F34" i="17"/>
  <c r="M38" i="13" s="1"/>
  <c r="E34" i="17"/>
  <c r="M38" i="11" s="1"/>
  <c r="D34" i="17"/>
  <c r="M38" i="12" s="1"/>
  <c r="C34" i="17"/>
  <c r="M38" i="10" s="1"/>
  <c r="G33" i="17"/>
  <c r="F33" i="17"/>
  <c r="M37" i="13" s="1"/>
  <c r="E33" i="17"/>
  <c r="M37" i="11" s="1"/>
  <c r="D33" i="17"/>
  <c r="M37" i="12" s="1"/>
  <c r="C33" i="17"/>
  <c r="M37" i="10" s="1"/>
  <c r="G32" i="17"/>
  <c r="M36" i="14" s="1"/>
  <c r="F32" i="17"/>
  <c r="M36" i="13" s="1"/>
  <c r="E32" i="17"/>
  <c r="M36" i="11" s="1"/>
  <c r="D32" i="17"/>
  <c r="C32" i="17"/>
  <c r="M36" i="10" s="1"/>
  <c r="G31" i="17"/>
  <c r="M35" i="14" s="1"/>
  <c r="F31" i="17"/>
  <c r="M35" i="13" s="1"/>
  <c r="E31" i="17"/>
  <c r="M35" i="11" s="1"/>
  <c r="D31" i="17"/>
  <c r="M35" i="12" s="1"/>
  <c r="C31" i="17"/>
  <c r="M35" i="10" s="1"/>
  <c r="G30" i="17"/>
  <c r="M34" i="14" s="1"/>
  <c r="F30" i="17"/>
  <c r="E30" i="17"/>
  <c r="M34" i="11" s="1"/>
  <c r="D30" i="17"/>
  <c r="M34" i="12" s="1"/>
  <c r="C30" i="17"/>
  <c r="M34" i="10" s="1"/>
  <c r="G29" i="17"/>
  <c r="M33" i="14" s="1"/>
  <c r="F29" i="17"/>
  <c r="M33" i="13" s="1"/>
  <c r="E29" i="17"/>
  <c r="M33" i="11" s="1"/>
  <c r="D29" i="17"/>
  <c r="M33" i="12" s="1"/>
  <c r="C29" i="17"/>
  <c r="G28" i="17"/>
  <c r="M32" i="14" s="1"/>
  <c r="F28" i="17"/>
  <c r="M32" i="13" s="1"/>
  <c r="E28" i="17"/>
  <c r="M32" i="11" s="1"/>
  <c r="D28" i="17"/>
  <c r="M32" i="12" s="1"/>
  <c r="C28" i="17"/>
  <c r="M32" i="10" s="1"/>
  <c r="G27" i="17"/>
  <c r="M31" i="14" s="1"/>
  <c r="F27" i="17"/>
  <c r="M31" i="13" s="1"/>
  <c r="E27" i="17"/>
  <c r="D27" i="17"/>
  <c r="M31" i="12" s="1"/>
  <c r="C27" i="17"/>
  <c r="M31" i="10" s="1"/>
  <c r="G26" i="17"/>
  <c r="M30" i="14" s="1"/>
  <c r="F26" i="17"/>
  <c r="M30" i="13" s="1"/>
  <c r="E26" i="17"/>
  <c r="M30" i="11" s="1"/>
  <c r="D26" i="17"/>
  <c r="M30" i="12" s="1"/>
  <c r="C26" i="17"/>
  <c r="M30" i="10" s="1"/>
  <c r="G25" i="17"/>
  <c r="F25" i="17"/>
  <c r="M29" i="13" s="1"/>
  <c r="E25" i="17"/>
  <c r="M29" i="11" s="1"/>
  <c r="D25" i="17"/>
  <c r="M29" i="12" s="1"/>
  <c r="C25" i="17"/>
  <c r="M29" i="10" s="1"/>
  <c r="G24" i="17"/>
  <c r="M28" i="14" s="1"/>
  <c r="F24" i="17"/>
  <c r="M28" i="13" s="1"/>
  <c r="E24" i="17"/>
  <c r="M28" i="11" s="1"/>
  <c r="D24" i="17"/>
  <c r="C24" i="17"/>
  <c r="G23" i="17"/>
  <c r="M27" i="14" s="1"/>
  <c r="F23" i="17"/>
  <c r="M27" i="13" s="1"/>
  <c r="E23" i="17"/>
  <c r="M27" i="11" s="1"/>
  <c r="D23" i="17"/>
  <c r="M27" i="12" s="1"/>
  <c r="C23" i="17"/>
  <c r="M27" i="10" s="1"/>
  <c r="G22" i="17"/>
  <c r="M26" i="14" s="1"/>
  <c r="F22" i="17"/>
  <c r="E22" i="17"/>
  <c r="M26" i="11" s="1"/>
  <c r="D22" i="17"/>
  <c r="M26" i="12" s="1"/>
  <c r="C22" i="17"/>
  <c r="M26" i="10" s="1"/>
  <c r="G21" i="17"/>
  <c r="M25" i="14" s="1"/>
  <c r="F21" i="17"/>
  <c r="M25" i="13" s="1"/>
  <c r="E21" i="17"/>
  <c r="M25" i="11" s="1"/>
  <c r="D21" i="17"/>
  <c r="M25" i="12" s="1"/>
  <c r="C21" i="17"/>
  <c r="G20" i="17"/>
  <c r="M24" i="14" s="1"/>
  <c r="F20" i="17"/>
  <c r="M24" i="13" s="1"/>
  <c r="E20" i="17"/>
  <c r="M24" i="11" s="1"/>
  <c r="D20" i="17"/>
  <c r="M24" i="12" s="1"/>
  <c r="C20" i="17"/>
  <c r="M24" i="10" s="1"/>
  <c r="G19" i="17"/>
  <c r="M23" i="14" s="1"/>
  <c r="F19" i="17"/>
  <c r="M23" i="13" s="1"/>
  <c r="E19" i="17"/>
  <c r="M23" i="11" s="1"/>
  <c r="D19" i="17"/>
  <c r="M23" i="12" s="1"/>
  <c r="C19" i="17"/>
  <c r="M23" i="10" s="1"/>
  <c r="G18" i="17"/>
  <c r="M22" i="14" s="1"/>
  <c r="F18" i="17"/>
  <c r="M22" i="13" s="1"/>
  <c r="E18" i="17"/>
  <c r="M22" i="11" s="1"/>
  <c r="D18" i="17"/>
  <c r="M22" i="12" s="1"/>
  <c r="C18" i="17"/>
  <c r="M22" i="10" s="1"/>
  <c r="G17" i="17"/>
  <c r="M21" i="14" s="1"/>
  <c r="F17" i="17"/>
  <c r="M21" i="13" s="1"/>
  <c r="E17" i="17"/>
  <c r="M21" i="11" s="1"/>
  <c r="D17" i="17"/>
  <c r="M21" i="12" s="1"/>
  <c r="C17" i="17"/>
  <c r="M21" i="10" s="1"/>
  <c r="G16" i="17"/>
  <c r="M20" i="14" s="1"/>
  <c r="F16" i="17"/>
  <c r="M20" i="13" s="1"/>
  <c r="E16" i="17"/>
  <c r="M20" i="11" s="1"/>
  <c r="D16" i="17"/>
  <c r="C16" i="17"/>
  <c r="M20" i="10" s="1"/>
  <c r="G15" i="17"/>
  <c r="M19" i="14" s="1"/>
  <c r="F15" i="17"/>
  <c r="M19" i="13" s="1"/>
  <c r="E15" i="17"/>
  <c r="M19" i="11" s="1"/>
  <c r="D15" i="17"/>
  <c r="M19" i="12" s="1"/>
  <c r="C15" i="17"/>
  <c r="M19" i="10" s="1"/>
  <c r="G14" i="17"/>
  <c r="M18" i="14" s="1"/>
  <c r="F14" i="17"/>
  <c r="M18" i="13" s="1"/>
  <c r="E14" i="17"/>
  <c r="D14" i="17"/>
  <c r="M18" i="12" s="1"/>
  <c r="C14" i="17"/>
  <c r="M18" i="10" s="1"/>
  <c r="G13" i="17"/>
  <c r="M17" i="14" s="1"/>
  <c r="F13" i="17"/>
  <c r="M17" i="13" s="1"/>
  <c r="E13" i="17"/>
  <c r="M17" i="11" s="1"/>
  <c r="D13" i="17"/>
  <c r="M17" i="12" s="1"/>
  <c r="C13" i="17"/>
  <c r="G12" i="17"/>
  <c r="M16" i="14" s="1"/>
  <c r="F12" i="17"/>
  <c r="M16" i="13" s="1"/>
  <c r="E12" i="17"/>
  <c r="M16" i="11" s="1"/>
  <c r="D12" i="17"/>
  <c r="M16" i="12" s="1"/>
  <c r="C12" i="17"/>
  <c r="M16" i="10" s="1"/>
  <c r="G11" i="17"/>
  <c r="M15" i="14" s="1"/>
  <c r="F11" i="17"/>
  <c r="M15" i="13" s="1"/>
  <c r="E11" i="17"/>
  <c r="D11" i="17"/>
  <c r="M15" i="12" s="1"/>
  <c r="C11" i="17"/>
  <c r="M15" i="10" s="1"/>
  <c r="G10" i="17"/>
  <c r="M14" i="14" s="1"/>
  <c r="F10" i="17"/>
  <c r="M14" i="13" s="1"/>
  <c r="E10" i="17"/>
  <c r="M14" i="11" s="1"/>
  <c r="D10" i="17"/>
  <c r="M14" i="12" s="1"/>
  <c r="C10" i="17"/>
  <c r="M14" i="10" s="1"/>
  <c r="G62" i="20"/>
  <c r="N66" i="14" s="1"/>
  <c r="F62" i="20"/>
  <c r="N66" i="13" s="1"/>
  <c r="E62" i="20"/>
  <c r="N66" i="11" s="1"/>
  <c r="D62" i="20"/>
  <c r="N66" i="12" s="1"/>
  <c r="C62" i="20"/>
  <c r="N66" i="10" s="1"/>
  <c r="G61" i="20"/>
  <c r="N65" i="14" s="1"/>
  <c r="F61" i="20"/>
  <c r="N65" i="13" s="1"/>
  <c r="E61" i="20"/>
  <c r="N65" i="11" s="1"/>
  <c r="D61" i="20"/>
  <c r="C61" i="20"/>
  <c r="N65" i="10" s="1"/>
  <c r="G60" i="20"/>
  <c r="N64" i="14" s="1"/>
  <c r="F60" i="20"/>
  <c r="N64" i="13" s="1"/>
  <c r="E60" i="20"/>
  <c r="N64" i="11" s="1"/>
  <c r="D60" i="20"/>
  <c r="N64" i="12" s="1"/>
  <c r="C60" i="20"/>
  <c r="N64" i="10" s="1"/>
  <c r="G59" i="20"/>
  <c r="N63" i="14" s="1"/>
  <c r="F59" i="20"/>
  <c r="E59" i="20"/>
  <c r="N63" i="11" s="1"/>
  <c r="D59" i="20"/>
  <c r="N63" i="12" s="1"/>
  <c r="C59" i="20"/>
  <c r="N63" i="10" s="1"/>
  <c r="G58" i="20"/>
  <c r="N62" i="14" s="1"/>
  <c r="F58" i="20"/>
  <c r="N62" i="13" s="1"/>
  <c r="E58" i="20"/>
  <c r="N62" i="11" s="1"/>
  <c r="D58" i="20"/>
  <c r="N62" i="12" s="1"/>
  <c r="C58" i="20"/>
  <c r="G57" i="20"/>
  <c r="N61" i="14" s="1"/>
  <c r="F57" i="20"/>
  <c r="N61" i="13" s="1"/>
  <c r="E57" i="20"/>
  <c r="N61" i="11" s="1"/>
  <c r="D57" i="20"/>
  <c r="N61" i="12" s="1"/>
  <c r="C57" i="20"/>
  <c r="N61" i="10" s="1"/>
  <c r="G56" i="20"/>
  <c r="N60" i="14" s="1"/>
  <c r="F56" i="20"/>
  <c r="N60" i="13" s="1"/>
  <c r="E56" i="20"/>
  <c r="N60" i="11" s="1"/>
  <c r="D56" i="20"/>
  <c r="N60" i="12" s="1"/>
  <c r="C56" i="20"/>
  <c r="N60" i="10" s="1"/>
  <c r="G55" i="20"/>
  <c r="N59" i="14" s="1"/>
  <c r="F55" i="20"/>
  <c r="N59" i="13" s="1"/>
  <c r="E55" i="20"/>
  <c r="N59" i="11" s="1"/>
  <c r="D55" i="20"/>
  <c r="N59" i="12" s="1"/>
  <c r="C55" i="20"/>
  <c r="N59" i="10" s="1"/>
  <c r="G54" i="20"/>
  <c r="N58" i="14" s="1"/>
  <c r="F54" i="20"/>
  <c r="N58" i="13" s="1"/>
  <c r="E54" i="20"/>
  <c r="N58" i="11" s="1"/>
  <c r="D54" i="20"/>
  <c r="N58" i="12" s="1"/>
  <c r="C54" i="20"/>
  <c r="N58" i="10" s="1"/>
  <c r="G53" i="20"/>
  <c r="N57" i="14" s="1"/>
  <c r="F53" i="20"/>
  <c r="N57" i="13" s="1"/>
  <c r="E53" i="20"/>
  <c r="N57" i="11" s="1"/>
  <c r="D53" i="20"/>
  <c r="N57" i="12" s="1"/>
  <c r="C53" i="20"/>
  <c r="N57" i="10" s="1"/>
  <c r="G52" i="20"/>
  <c r="N56" i="14" s="1"/>
  <c r="F52" i="20"/>
  <c r="N56" i="13" s="1"/>
  <c r="E52" i="20"/>
  <c r="N56" i="11" s="1"/>
  <c r="D52" i="20"/>
  <c r="N56" i="12" s="1"/>
  <c r="C52" i="20"/>
  <c r="N56" i="10" s="1"/>
  <c r="G51" i="20"/>
  <c r="N55" i="14" s="1"/>
  <c r="F51" i="20"/>
  <c r="N55" i="13" s="1"/>
  <c r="E51" i="20"/>
  <c r="N55" i="11" s="1"/>
  <c r="D51" i="20"/>
  <c r="N55" i="12" s="1"/>
  <c r="C51" i="20"/>
  <c r="N55" i="10" s="1"/>
  <c r="G50" i="20"/>
  <c r="N54" i="14" s="1"/>
  <c r="F50" i="20"/>
  <c r="N54" i="13" s="1"/>
  <c r="E50" i="20"/>
  <c r="N54" i="11" s="1"/>
  <c r="D50" i="20"/>
  <c r="N54" i="12" s="1"/>
  <c r="C50" i="20"/>
  <c r="G49" i="20"/>
  <c r="N53" i="14" s="1"/>
  <c r="F49" i="20"/>
  <c r="N53" i="13" s="1"/>
  <c r="E49" i="20"/>
  <c r="N53" i="11" s="1"/>
  <c r="D49" i="20"/>
  <c r="N53" i="12" s="1"/>
  <c r="C49" i="20"/>
  <c r="N53" i="10" s="1"/>
  <c r="G48" i="20"/>
  <c r="N52" i="14" s="1"/>
  <c r="F48" i="20"/>
  <c r="N52" i="13" s="1"/>
  <c r="E48" i="20"/>
  <c r="N52" i="11" s="1"/>
  <c r="D48" i="20"/>
  <c r="N52" i="12" s="1"/>
  <c r="C48" i="20"/>
  <c r="N52" i="10" s="1"/>
  <c r="G47" i="20"/>
  <c r="N51" i="14" s="1"/>
  <c r="F47" i="20"/>
  <c r="N51" i="13" s="1"/>
  <c r="E47" i="20"/>
  <c r="N51" i="11" s="1"/>
  <c r="D47" i="20"/>
  <c r="N51" i="12" s="1"/>
  <c r="C47" i="20"/>
  <c r="N51" i="10" s="1"/>
  <c r="G46" i="20"/>
  <c r="N50" i="14" s="1"/>
  <c r="F46" i="20"/>
  <c r="N50" i="13" s="1"/>
  <c r="E46" i="20"/>
  <c r="N50" i="11" s="1"/>
  <c r="D46" i="20"/>
  <c r="N50" i="12" s="1"/>
  <c r="C46" i="20"/>
  <c r="N50" i="10" s="1"/>
  <c r="G45" i="20"/>
  <c r="N49" i="14" s="1"/>
  <c r="F45" i="20"/>
  <c r="N49" i="13" s="1"/>
  <c r="E45" i="20"/>
  <c r="N49" i="11" s="1"/>
  <c r="D45" i="20"/>
  <c r="N49" i="12" s="1"/>
  <c r="C45" i="20"/>
  <c r="N49" i="10" s="1"/>
  <c r="G44" i="20"/>
  <c r="N48" i="14" s="1"/>
  <c r="F44" i="20"/>
  <c r="N48" i="13" s="1"/>
  <c r="E44" i="20"/>
  <c r="N48" i="11" s="1"/>
  <c r="D44" i="20"/>
  <c r="N48" i="12" s="1"/>
  <c r="C44" i="20"/>
  <c r="N48" i="10" s="1"/>
  <c r="G43" i="20"/>
  <c r="N47" i="14" s="1"/>
  <c r="F43" i="20"/>
  <c r="N47" i="13" s="1"/>
  <c r="E43" i="20"/>
  <c r="N47" i="11" s="1"/>
  <c r="D43" i="20"/>
  <c r="N47" i="12" s="1"/>
  <c r="C43" i="20"/>
  <c r="N47" i="10" s="1"/>
  <c r="G42" i="20"/>
  <c r="N46" i="14" s="1"/>
  <c r="F42" i="20"/>
  <c r="N46" i="13" s="1"/>
  <c r="E42" i="20"/>
  <c r="N46" i="11" s="1"/>
  <c r="D42" i="20"/>
  <c r="N46" i="12" s="1"/>
  <c r="C42" i="20"/>
  <c r="G41" i="20"/>
  <c r="N45" i="14" s="1"/>
  <c r="F41" i="20"/>
  <c r="N45" i="13" s="1"/>
  <c r="E41" i="20"/>
  <c r="N45" i="11" s="1"/>
  <c r="D41" i="20"/>
  <c r="N45" i="12" s="1"/>
  <c r="C41" i="20"/>
  <c r="N45" i="10" s="1"/>
  <c r="G40" i="20"/>
  <c r="N44" i="14" s="1"/>
  <c r="F40" i="20"/>
  <c r="N44" i="13" s="1"/>
  <c r="E40" i="20"/>
  <c r="N44" i="11" s="1"/>
  <c r="D40" i="20"/>
  <c r="N44" i="12" s="1"/>
  <c r="C40" i="20"/>
  <c r="N44" i="10" s="1"/>
  <c r="G39" i="20"/>
  <c r="N43" i="14" s="1"/>
  <c r="F39" i="20"/>
  <c r="N43" i="13" s="1"/>
  <c r="E39" i="20"/>
  <c r="N43" i="11" s="1"/>
  <c r="D39" i="20"/>
  <c r="N43" i="12" s="1"/>
  <c r="C39" i="20"/>
  <c r="N43" i="10" s="1"/>
  <c r="G38" i="20"/>
  <c r="N42" i="14" s="1"/>
  <c r="F38" i="20"/>
  <c r="N42" i="13" s="1"/>
  <c r="E38" i="20"/>
  <c r="N42" i="11" s="1"/>
  <c r="D38" i="20"/>
  <c r="N42" i="12" s="1"/>
  <c r="C38" i="20"/>
  <c r="N42" i="10" s="1"/>
  <c r="G37" i="20"/>
  <c r="N41" i="14" s="1"/>
  <c r="F37" i="20"/>
  <c r="N41" i="13" s="1"/>
  <c r="E37" i="20"/>
  <c r="N41" i="11" s="1"/>
  <c r="D37" i="20"/>
  <c r="C37" i="20"/>
  <c r="N41" i="10" s="1"/>
  <c r="G36" i="20"/>
  <c r="N40" i="14" s="1"/>
  <c r="F36" i="20"/>
  <c r="N40" i="13" s="1"/>
  <c r="E36" i="20"/>
  <c r="N40" i="11" s="1"/>
  <c r="D36" i="20"/>
  <c r="N40" i="12" s="1"/>
  <c r="C36" i="20"/>
  <c r="N40" i="10" s="1"/>
  <c r="G35" i="20"/>
  <c r="N39" i="14" s="1"/>
  <c r="F35" i="20"/>
  <c r="N39" i="13" s="1"/>
  <c r="E35" i="20"/>
  <c r="N39" i="11" s="1"/>
  <c r="D35" i="20"/>
  <c r="N39" i="12" s="1"/>
  <c r="C35" i="20"/>
  <c r="N39" i="10" s="1"/>
  <c r="G34" i="20"/>
  <c r="N38" i="14" s="1"/>
  <c r="F34" i="20"/>
  <c r="N38" i="13" s="1"/>
  <c r="E34" i="20"/>
  <c r="N38" i="11" s="1"/>
  <c r="D34" i="20"/>
  <c r="N38" i="12" s="1"/>
  <c r="C34" i="20"/>
  <c r="G33" i="20"/>
  <c r="N37" i="14" s="1"/>
  <c r="F33" i="20"/>
  <c r="N37" i="13" s="1"/>
  <c r="E33" i="20"/>
  <c r="N37" i="11" s="1"/>
  <c r="D33" i="20"/>
  <c r="N37" i="12" s="1"/>
  <c r="C33" i="20"/>
  <c r="N37" i="10" s="1"/>
  <c r="G32" i="20"/>
  <c r="N36" i="14" s="1"/>
  <c r="F32" i="20"/>
  <c r="N36" i="13" s="1"/>
  <c r="E32" i="20"/>
  <c r="D32" i="20"/>
  <c r="N36" i="12" s="1"/>
  <c r="C32" i="20"/>
  <c r="N36" i="10" s="1"/>
  <c r="G31" i="20"/>
  <c r="N35" i="14" s="1"/>
  <c r="F31" i="20"/>
  <c r="N35" i="13" s="1"/>
  <c r="E31" i="20"/>
  <c r="N35" i="11" s="1"/>
  <c r="D31" i="20"/>
  <c r="N35" i="12" s="1"/>
  <c r="C31" i="20"/>
  <c r="N35" i="10" s="1"/>
  <c r="G30" i="20"/>
  <c r="F30" i="20"/>
  <c r="N34" i="13" s="1"/>
  <c r="E30" i="20"/>
  <c r="N34" i="11" s="1"/>
  <c r="D30" i="20"/>
  <c r="N34" i="12" s="1"/>
  <c r="C30" i="20"/>
  <c r="N34" i="10" s="1"/>
  <c r="G29" i="20"/>
  <c r="N33" i="14" s="1"/>
  <c r="F29" i="20"/>
  <c r="N33" i="13" s="1"/>
  <c r="E29" i="20"/>
  <c r="N33" i="11" s="1"/>
  <c r="D29" i="20"/>
  <c r="C29" i="20"/>
  <c r="N33" i="10" s="1"/>
  <c r="G28" i="20"/>
  <c r="N32" i="14" s="1"/>
  <c r="F28" i="20"/>
  <c r="N32" i="13" s="1"/>
  <c r="E28" i="20"/>
  <c r="N32" i="11" s="1"/>
  <c r="D28" i="20"/>
  <c r="N32" i="12" s="1"/>
  <c r="C28" i="20"/>
  <c r="N32" i="10" s="1"/>
  <c r="G27" i="20"/>
  <c r="N31" i="14" s="1"/>
  <c r="F27" i="20"/>
  <c r="E27" i="20"/>
  <c r="N31" i="11" s="1"/>
  <c r="D27" i="20"/>
  <c r="N31" i="12" s="1"/>
  <c r="C27" i="20"/>
  <c r="N31" i="10" s="1"/>
  <c r="G26" i="20"/>
  <c r="N30" i="14" s="1"/>
  <c r="F26" i="20"/>
  <c r="N30" i="13" s="1"/>
  <c r="E26" i="20"/>
  <c r="N30" i="11" s="1"/>
  <c r="D26" i="20"/>
  <c r="N30" i="12" s="1"/>
  <c r="C26" i="20"/>
  <c r="G25" i="20"/>
  <c r="N29" i="14" s="1"/>
  <c r="F25" i="20"/>
  <c r="N29" i="13" s="1"/>
  <c r="E25" i="20"/>
  <c r="N29" i="11" s="1"/>
  <c r="D25" i="20"/>
  <c r="N29" i="12" s="1"/>
  <c r="C25" i="20"/>
  <c r="N29" i="10" s="1"/>
  <c r="G24" i="20"/>
  <c r="N28" i="14" s="1"/>
  <c r="F24" i="20"/>
  <c r="N28" i="13" s="1"/>
  <c r="E24" i="20"/>
  <c r="D24" i="20"/>
  <c r="N28" i="12" s="1"/>
  <c r="C24" i="20"/>
  <c r="N28" i="10" s="1"/>
  <c r="G23" i="20"/>
  <c r="N27" i="14" s="1"/>
  <c r="F23" i="20"/>
  <c r="N27" i="13" s="1"/>
  <c r="E23" i="20"/>
  <c r="N27" i="11" s="1"/>
  <c r="D23" i="20"/>
  <c r="N27" i="12" s="1"/>
  <c r="C23" i="20"/>
  <c r="N27" i="10" s="1"/>
  <c r="G22" i="20"/>
  <c r="N26" i="14" s="1"/>
  <c r="F22" i="20"/>
  <c r="N26" i="13" s="1"/>
  <c r="E22" i="20"/>
  <c r="N26" i="11" s="1"/>
  <c r="D22" i="20"/>
  <c r="N26" i="12" s="1"/>
  <c r="C22" i="20"/>
  <c r="N26" i="10" s="1"/>
  <c r="G21" i="20"/>
  <c r="N25" i="14" s="1"/>
  <c r="F21" i="20"/>
  <c r="N25" i="13" s="1"/>
  <c r="E21" i="20"/>
  <c r="N25" i="11" s="1"/>
  <c r="D21" i="20"/>
  <c r="C21" i="20"/>
  <c r="N25" i="10" s="1"/>
  <c r="G20" i="20"/>
  <c r="N24" i="14" s="1"/>
  <c r="F20" i="20"/>
  <c r="N24" i="13" s="1"/>
  <c r="E20" i="20"/>
  <c r="N24" i="11" s="1"/>
  <c r="D20" i="20"/>
  <c r="N24" i="12" s="1"/>
  <c r="C20" i="20"/>
  <c r="N24" i="10" s="1"/>
  <c r="G19" i="20"/>
  <c r="N23" i="14" s="1"/>
  <c r="F19" i="20"/>
  <c r="N23" i="13" s="1"/>
  <c r="E19" i="20"/>
  <c r="N23" i="11" s="1"/>
  <c r="D19" i="20"/>
  <c r="N23" i="12" s="1"/>
  <c r="C19" i="20"/>
  <c r="N23" i="10" s="1"/>
  <c r="G18" i="20"/>
  <c r="N22" i="14" s="1"/>
  <c r="F18" i="20"/>
  <c r="N22" i="13" s="1"/>
  <c r="E18" i="20"/>
  <c r="N22" i="11" s="1"/>
  <c r="D18" i="20"/>
  <c r="N22" i="12" s="1"/>
  <c r="C18" i="20"/>
  <c r="G17" i="20"/>
  <c r="N21" i="14" s="1"/>
  <c r="F17" i="20"/>
  <c r="N21" i="13" s="1"/>
  <c r="E17" i="20"/>
  <c r="N21" i="11" s="1"/>
  <c r="D17" i="20"/>
  <c r="N21" i="12" s="1"/>
  <c r="C17" i="20"/>
  <c r="N21" i="10" s="1"/>
  <c r="G16" i="20"/>
  <c r="N20" i="14" s="1"/>
  <c r="F16" i="20"/>
  <c r="N20" i="13" s="1"/>
  <c r="E16" i="20"/>
  <c r="D16" i="20"/>
  <c r="N20" i="12" s="1"/>
  <c r="C16" i="20"/>
  <c r="N20" i="10" s="1"/>
  <c r="G15" i="20"/>
  <c r="N19" i="14" s="1"/>
  <c r="F15" i="20"/>
  <c r="N19" i="13" s="1"/>
  <c r="E15" i="20"/>
  <c r="N19" i="11" s="1"/>
  <c r="D15" i="20"/>
  <c r="N19" i="12" s="1"/>
  <c r="C15" i="20"/>
  <c r="N19" i="10" s="1"/>
  <c r="G14" i="20"/>
  <c r="N18" i="14" s="1"/>
  <c r="F14" i="20"/>
  <c r="N18" i="13" s="1"/>
  <c r="E14" i="20"/>
  <c r="N18" i="11" s="1"/>
  <c r="D14" i="20"/>
  <c r="N18" i="12" s="1"/>
  <c r="C14" i="20"/>
  <c r="N18" i="10" s="1"/>
  <c r="G13" i="20"/>
  <c r="N17" i="14" s="1"/>
  <c r="F13" i="20"/>
  <c r="N17" i="13" s="1"/>
  <c r="E13" i="20"/>
  <c r="N17" i="11" s="1"/>
  <c r="D13" i="20"/>
  <c r="C13" i="20"/>
  <c r="N17" i="10" s="1"/>
  <c r="G12" i="20"/>
  <c r="N16" i="14" s="1"/>
  <c r="F12" i="20"/>
  <c r="N16" i="13" s="1"/>
  <c r="E12" i="20"/>
  <c r="N16" i="11" s="1"/>
  <c r="D12" i="20"/>
  <c r="N16" i="12" s="1"/>
  <c r="C12" i="20"/>
  <c r="N16" i="10" s="1"/>
  <c r="G11" i="20"/>
  <c r="N15" i="14" s="1"/>
  <c r="F11" i="20"/>
  <c r="E11" i="20"/>
  <c r="N15" i="11" s="1"/>
  <c r="D11" i="20"/>
  <c r="N15" i="12" s="1"/>
  <c r="C11" i="20"/>
  <c r="N15" i="10" s="1"/>
  <c r="G10" i="20"/>
  <c r="N14" i="14" s="1"/>
  <c r="F10" i="20"/>
  <c r="N14" i="13" s="1"/>
  <c r="E10" i="20"/>
  <c r="N14" i="11" s="1"/>
  <c r="D10" i="20"/>
  <c r="N14" i="12" s="1"/>
  <c r="C10" i="20"/>
  <c r="G62" i="22"/>
  <c r="F62" i="22"/>
  <c r="O66" i="13" s="1"/>
  <c r="E62" i="22"/>
  <c r="O66" i="11" s="1"/>
  <c r="D62" i="22"/>
  <c r="O66" i="12" s="1"/>
  <c r="C62" i="22"/>
  <c r="O66" i="10" s="1"/>
  <c r="G61" i="22"/>
  <c r="O65" i="14" s="1"/>
  <c r="F61" i="22"/>
  <c r="O65" i="13" s="1"/>
  <c r="E61" i="22"/>
  <c r="O65" i="11" s="1"/>
  <c r="D61" i="22"/>
  <c r="O65" i="12" s="1"/>
  <c r="C61" i="22"/>
  <c r="O65" i="10" s="1"/>
  <c r="G60" i="22"/>
  <c r="O64" i="14" s="1"/>
  <c r="F60" i="22"/>
  <c r="O64" i="13" s="1"/>
  <c r="E60" i="22"/>
  <c r="O64" i="11" s="1"/>
  <c r="D60" i="22"/>
  <c r="O64" i="12" s="1"/>
  <c r="C60" i="22"/>
  <c r="O64" i="10" s="1"/>
  <c r="G59" i="22"/>
  <c r="O63" i="14" s="1"/>
  <c r="F59" i="22"/>
  <c r="O63" i="13" s="1"/>
  <c r="E59" i="22"/>
  <c r="O63" i="11" s="1"/>
  <c r="D59" i="22"/>
  <c r="O63" i="12" s="1"/>
  <c r="C59" i="22"/>
  <c r="O63" i="10" s="1"/>
  <c r="G58" i="22"/>
  <c r="O62" i="14" s="1"/>
  <c r="F58" i="22"/>
  <c r="O62" i="13" s="1"/>
  <c r="E58" i="22"/>
  <c r="O62" i="11" s="1"/>
  <c r="D58" i="22"/>
  <c r="O62" i="12" s="1"/>
  <c r="C58" i="22"/>
  <c r="O62" i="10" s="1"/>
  <c r="G57" i="22"/>
  <c r="O61" i="14" s="1"/>
  <c r="F57" i="22"/>
  <c r="O61" i="13" s="1"/>
  <c r="E57" i="22"/>
  <c r="O61" i="11" s="1"/>
  <c r="D57" i="22"/>
  <c r="O61" i="12" s="1"/>
  <c r="C57" i="22"/>
  <c r="O61" i="10" s="1"/>
  <c r="G56" i="22"/>
  <c r="O60" i="14" s="1"/>
  <c r="F56" i="22"/>
  <c r="O60" i="13" s="1"/>
  <c r="E56" i="22"/>
  <c r="O60" i="11" s="1"/>
  <c r="D56" i="22"/>
  <c r="O60" i="12" s="1"/>
  <c r="C56" i="22"/>
  <c r="O60" i="10" s="1"/>
  <c r="G55" i="22"/>
  <c r="O59" i="14" s="1"/>
  <c r="F55" i="22"/>
  <c r="O59" i="13" s="1"/>
  <c r="E55" i="22"/>
  <c r="O59" i="11" s="1"/>
  <c r="D55" i="22"/>
  <c r="O59" i="12" s="1"/>
  <c r="C55" i="22"/>
  <c r="G54" i="22"/>
  <c r="O58" i="14" s="1"/>
  <c r="F54" i="22"/>
  <c r="O58" i="13" s="1"/>
  <c r="E54" i="22"/>
  <c r="O58" i="11" s="1"/>
  <c r="D54" i="22"/>
  <c r="O58" i="12" s="1"/>
  <c r="C54" i="22"/>
  <c r="O58" i="10" s="1"/>
  <c r="G53" i="22"/>
  <c r="O57" i="14" s="1"/>
  <c r="F53" i="22"/>
  <c r="O57" i="13" s="1"/>
  <c r="E53" i="22"/>
  <c r="O57" i="11" s="1"/>
  <c r="D53" i="22"/>
  <c r="O57" i="12" s="1"/>
  <c r="C53" i="22"/>
  <c r="O57" i="10" s="1"/>
  <c r="G52" i="22"/>
  <c r="O56" i="14" s="1"/>
  <c r="F52" i="22"/>
  <c r="O56" i="13" s="1"/>
  <c r="E52" i="22"/>
  <c r="O56" i="11" s="1"/>
  <c r="D52" i="22"/>
  <c r="O56" i="12" s="1"/>
  <c r="C52" i="22"/>
  <c r="O56" i="10" s="1"/>
  <c r="G51" i="22"/>
  <c r="O55" i="14" s="1"/>
  <c r="F51" i="22"/>
  <c r="O55" i="13" s="1"/>
  <c r="E51" i="22"/>
  <c r="O55" i="11" s="1"/>
  <c r="D51" i="22"/>
  <c r="O55" i="12" s="1"/>
  <c r="C51" i="22"/>
  <c r="O55" i="10" s="1"/>
  <c r="G50" i="22"/>
  <c r="O54" i="14" s="1"/>
  <c r="F50" i="22"/>
  <c r="O54" i="13" s="1"/>
  <c r="E50" i="22"/>
  <c r="O54" i="11" s="1"/>
  <c r="D50" i="22"/>
  <c r="O54" i="12" s="1"/>
  <c r="C50" i="22"/>
  <c r="O54" i="10" s="1"/>
  <c r="G49" i="22"/>
  <c r="O53" i="14" s="1"/>
  <c r="F49" i="22"/>
  <c r="O53" i="13" s="1"/>
  <c r="E49" i="22"/>
  <c r="O53" i="11" s="1"/>
  <c r="D49" i="22"/>
  <c r="O53" i="12" s="1"/>
  <c r="C49" i="22"/>
  <c r="O53" i="10" s="1"/>
  <c r="G48" i="22"/>
  <c r="O52" i="14" s="1"/>
  <c r="F48" i="22"/>
  <c r="O52" i="13" s="1"/>
  <c r="E48" i="22"/>
  <c r="O52" i="11" s="1"/>
  <c r="D48" i="22"/>
  <c r="O52" i="12" s="1"/>
  <c r="C48" i="22"/>
  <c r="O52" i="10" s="1"/>
  <c r="G47" i="22"/>
  <c r="O51" i="14" s="1"/>
  <c r="F47" i="22"/>
  <c r="O51" i="13" s="1"/>
  <c r="E47" i="22"/>
  <c r="O51" i="11" s="1"/>
  <c r="D47" i="22"/>
  <c r="O51" i="12" s="1"/>
  <c r="C47" i="22"/>
  <c r="G46" i="22"/>
  <c r="O50" i="14" s="1"/>
  <c r="F46" i="22"/>
  <c r="O50" i="13" s="1"/>
  <c r="E46" i="22"/>
  <c r="O50" i="11" s="1"/>
  <c r="D46" i="22"/>
  <c r="O50" i="12" s="1"/>
  <c r="C46" i="22"/>
  <c r="O50" i="10" s="1"/>
  <c r="G45" i="22"/>
  <c r="O49" i="14" s="1"/>
  <c r="F45" i="22"/>
  <c r="O49" i="13" s="1"/>
  <c r="E45" i="22"/>
  <c r="O49" i="11" s="1"/>
  <c r="D45" i="22"/>
  <c r="O49" i="12" s="1"/>
  <c r="C45" i="22"/>
  <c r="O49" i="10" s="1"/>
  <c r="G44" i="22"/>
  <c r="O48" i="14" s="1"/>
  <c r="F44" i="22"/>
  <c r="O48" i="13" s="1"/>
  <c r="E44" i="22"/>
  <c r="O48" i="11" s="1"/>
  <c r="D44" i="22"/>
  <c r="O48" i="12" s="1"/>
  <c r="C44" i="22"/>
  <c r="O48" i="10" s="1"/>
  <c r="G43" i="22"/>
  <c r="O47" i="14" s="1"/>
  <c r="F43" i="22"/>
  <c r="O47" i="13" s="1"/>
  <c r="E43" i="22"/>
  <c r="O47" i="11" s="1"/>
  <c r="D43" i="22"/>
  <c r="O47" i="12" s="1"/>
  <c r="C43" i="22"/>
  <c r="O47" i="10" s="1"/>
  <c r="G42" i="22"/>
  <c r="O46" i="14" s="1"/>
  <c r="F42" i="22"/>
  <c r="O46" i="13" s="1"/>
  <c r="E42" i="22"/>
  <c r="O46" i="11" s="1"/>
  <c r="D42" i="22"/>
  <c r="C42" i="22"/>
  <c r="O46" i="10" s="1"/>
  <c r="G41" i="22"/>
  <c r="O45" i="14" s="1"/>
  <c r="F41" i="22"/>
  <c r="O45" i="13" s="1"/>
  <c r="E41" i="22"/>
  <c r="O45" i="11" s="1"/>
  <c r="D41" i="22"/>
  <c r="O45" i="12" s="1"/>
  <c r="C41" i="22"/>
  <c r="O45" i="10" s="1"/>
  <c r="G40" i="22"/>
  <c r="O44" i="14" s="1"/>
  <c r="F40" i="22"/>
  <c r="E40" i="22"/>
  <c r="O44" i="11" s="1"/>
  <c r="D40" i="22"/>
  <c r="O44" i="12" s="1"/>
  <c r="C40" i="22"/>
  <c r="O44" i="10" s="1"/>
  <c r="G39" i="22"/>
  <c r="O43" i="14" s="1"/>
  <c r="F39" i="22"/>
  <c r="O43" i="13" s="1"/>
  <c r="E39" i="22"/>
  <c r="O43" i="11" s="1"/>
  <c r="D39" i="22"/>
  <c r="O43" i="12" s="1"/>
  <c r="C39" i="22"/>
  <c r="O43" i="10" s="1"/>
  <c r="G38" i="22"/>
  <c r="O42" i="14" s="1"/>
  <c r="F38" i="22"/>
  <c r="O42" i="13" s="1"/>
  <c r="E38" i="22"/>
  <c r="O42" i="11" s="1"/>
  <c r="D38" i="22"/>
  <c r="O42" i="12" s="1"/>
  <c r="C38" i="22"/>
  <c r="O42" i="10" s="1"/>
  <c r="G37" i="22"/>
  <c r="O41" i="14" s="1"/>
  <c r="F37" i="22"/>
  <c r="O41" i="13" s="1"/>
  <c r="E37" i="22"/>
  <c r="O41" i="11" s="1"/>
  <c r="D37" i="22"/>
  <c r="O41" i="12" s="1"/>
  <c r="C37" i="22"/>
  <c r="O41" i="10" s="1"/>
  <c r="G36" i="22"/>
  <c r="O40" i="14" s="1"/>
  <c r="F36" i="22"/>
  <c r="O40" i="13" s="1"/>
  <c r="E36" i="22"/>
  <c r="O40" i="11" s="1"/>
  <c r="D36" i="22"/>
  <c r="O40" i="12" s="1"/>
  <c r="C36" i="22"/>
  <c r="O40" i="10" s="1"/>
  <c r="G35" i="22"/>
  <c r="O39" i="14" s="1"/>
  <c r="F35" i="22"/>
  <c r="O39" i="13" s="1"/>
  <c r="E35" i="22"/>
  <c r="O39" i="11" s="1"/>
  <c r="D35" i="22"/>
  <c r="O39" i="12" s="1"/>
  <c r="C35" i="22"/>
  <c r="O39" i="10" s="1"/>
  <c r="G34" i="22"/>
  <c r="O38" i="14" s="1"/>
  <c r="F34" i="22"/>
  <c r="O38" i="13" s="1"/>
  <c r="E34" i="22"/>
  <c r="O38" i="11" s="1"/>
  <c r="D34" i="22"/>
  <c r="O38" i="12" s="1"/>
  <c r="C34" i="22"/>
  <c r="O38" i="10" s="1"/>
  <c r="G33" i="22"/>
  <c r="O37" i="14" s="1"/>
  <c r="F33" i="22"/>
  <c r="O37" i="13" s="1"/>
  <c r="E33" i="22"/>
  <c r="O37" i="11" s="1"/>
  <c r="D33" i="22"/>
  <c r="O37" i="12" s="1"/>
  <c r="C33" i="22"/>
  <c r="O37" i="10" s="1"/>
  <c r="G32" i="22"/>
  <c r="O36" i="14" s="1"/>
  <c r="F32" i="22"/>
  <c r="O36" i="13" s="1"/>
  <c r="E32" i="22"/>
  <c r="O36" i="11" s="1"/>
  <c r="D32" i="22"/>
  <c r="O36" i="12" s="1"/>
  <c r="C32" i="22"/>
  <c r="O36" i="10" s="1"/>
  <c r="G31" i="22"/>
  <c r="O35" i="14" s="1"/>
  <c r="F31" i="22"/>
  <c r="O35" i="13" s="1"/>
  <c r="E31" i="22"/>
  <c r="O35" i="11" s="1"/>
  <c r="D31" i="22"/>
  <c r="O35" i="12" s="1"/>
  <c r="C31" i="22"/>
  <c r="O35" i="10" s="1"/>
  <c r="G30" i="22"/>
  <c r="O34" i="14" s="1"/>
  <c r="F30" i="22"/>
  <c r="O34" i="13" s="1"/>
  <c r="E30" i="22"/>
  <c r="O34" i="11" s="1"/>
  <c r="D30" i="22"/>
  <c r="O34" i="12" s="1"/>
  <c r="C30" i="22"/>
  <c r="O34" i="10" s="1"/>
  <c r="G29" i="22"/>
  <c r="O33" i="14" s="1"/>
  <c r="F29" i="22"/>
  <c r="O33" i="13" s="1"/>
  <c r="E29" i="22"/>
  <c r="O33" i="11" s="1"/>
  <c r="D29" i="22"/>
  <c r="O33" i="12" s="1"/>
  <c r="C29" i="22"/>
  <c r="O33" i="10" s="1"/>
  <c r="G28" i="22"/>
  <c r="O32" i="14" s="1"/>
  <c r="F28" i="22"/>
  <c r="O32" i="13" s="1"/>
  <c r="E28" i="22"/>
  <c r="O32" i="11" s="1"/>
  <c r="D28" i="22"/>
  <c r="O32" i="12" s="1"/>
  <c r="C28" i="22"/>
  <c r="O32" i="10" s="1"/>
  <c r="G27" i="22"/>
  <c r="O31" i="14" s="1"/>
  <c r="F27" i="22"/>
  <c r="O31" i="13" s="1"/>
  <c r="E27" i="22"/>
  <c r="O31" i="11" s="1"/>
  <c r="D27" i="22"/>
  <c r="O31" i="12" s="1"/>
  <c r="C27" i="22"/>
  <c r="O31" i="10" s="1"/>
  <c r="G26" i="22"/>
  <c r="O30" i="14" s="1"/>
  <c r="F26" i="22"/>
  <c r="O30" i="13" s="1"/>
  <c r="E26" i="22"/>
  <c r="O30" i="11" s="1"/>
  <c r="D26" i="22"/>
  <c r="O30" i="12" s="1"/>
  <c r="C26" i="22"/>
  <c r="G25" i="22"/>
  <c r="O29" i="14" s="1"/>
  <c r="F25" i="22"/>
  <c r="O29" i="13" s="1"/>
  <c r="E25" i="22"/>
  <c r="O29" i="11" s="1"/>
  <c r="D25" i="22"/>
  <c r="O29" i="12" s="1"/>
  <c r="C25" i="22"/>
  <c r="O29" i="10" s="1"/>
  <c r="G24" i="22"/>
  <c r="O28" i="14" s="1"/>
  <c r="F24" i="22"/>
  <c r="O28" i="13" s="1"/>
  <c r="E24" i="22"/>
  <c r="O28" i="11" s="1"/>
  <c r="D24" i="22"/>
  <c r="O28" i="12" s="1"/>
  <c r="C24" i="22"/>
  <c r="O28" i="10" s="1"/>
  <c r="G23" i="22"/>
  <c r="O27" i="14" s="1"/>
  <c r="F23" i="22"/>
  <c r="O27" i="13" s="1"/>
  <c r="E23" i="22"/>
  <c r="O27" i="11" s="1"/>
  <c r="D23" i="22"/>
  <c r="O27" i="12" s="1"/>
  <c r="C23" i="22"/>
  <c r="O27" i="10" s="1"/>
  <c r="G22" i="22"/>
  <c r="O26" i="14" s="1"/>
  <c r="F22" i="22"/>
  <c r="O26" i="13" s="1"/>
  <c r="E22" i="22"/>
  <c r="O26" i="11" s="1"/>
  <c r="D22" i="22"/>
  <c r="O26" i="12" s="1"/>
  <c r="C22" i="22"/>
  <c r="O26" i="10" s="1"/>
  <c r="G21" i="22"/>
  <c r="O25" i="14" s="1"/>
  <c r="F21" i="22"/>
  <c r="O25" i="13" s="1"/>
  <c r="E21" i="22"/>
  <c r="O25" i="11" s="1"/>
  <c r="D21" i="22"/>
  <c r="O25" i="12" s="1"/>
  <c r="C21" i="22"/>
  <c r="O25" i="10" s="1"/>
  <c r="G20" i="22"/>
  <c r="O24" i="14" s="1"/>
  <c r="F20" i="22"/>
  <c r="O24" i="13" s="1"/>
  <c r="E20" i="22"/>
  <c r="O24" i="11" s="1"/>
  <c r="D20" i="22"/>
  <c r="O24" i="12" s="1"/>
  <c r="C20" i="22"/>
  <c r="O24" i="10" s="1"/>
  <c r="G19" i="22"/>
  <c r="O23" i="14" s="1"/>
  <c r="F19" i="22"/>
  <c r="O23" i="13" s="1"/>
  <c r="E19" i="22"/>
  <c r="O23" i="11" s="1"/>
  <c r="D19" i="22"/>
  <c r="O23" i="12" s="1"/>
  <c r="C19" i="22"/>
  <c r="O23" i="10" s="1"/>
  <c r="G18" i="22"/>
  <c r="O22" i="14" s="1"/>
  <c r="F18" i="22"/>
  <c r="O22" i="13" s="1"/>
  <c r="E18" i="22"/>
  <c r="O22" i="11" s="1"/>
  <c r="D18" i="22"/>
  <c r="O22" i="12" s="1"/>
  <c r="C18" i="22"/>
  <c r="O22" i="10" s="1"/>
  <c r="G17" i="22"/>
  <c r="O21" i="14" s="1"/>
  <c r="F17" i="22"/>
  <c r="O21" i="13" s="1"/>
  <c r="E17" i="22"/>
  <c r="O21" i="11" s="1"/>
  <c r="D17" i="22"/>
  <c r="O21" i="12" s="1"/>
  <c r="C17" i="22"/>
  <c r="O21" i="10" s="1"/>
  <c r="G16" i="22"/>
  <c r="O20" i="14" s="1"/>
  <c r="F16" i="22"/>
  <c r="E16" i="22"/>
  <c r="O20" i="11" s="1"/>
  <c r="D16" i="22"/>
  <c r="O20" i="12" s="1"/>
  <c r="C16" i="22"/>
  <c r="O20" i="10" s="1"/>
  <c r="G15" i="22"/>
  <c r="O19" i="14" s="1"/>
  <c r="F15" i="22"/>
  <c r="O19" i="13" s="1"/>
  <c r="E15" i="22"/>
  <c r="O19" i="11" s="1"/>
  <c r="D15" i="22"/>
  <c r="O19" i="12" s="1"/>
  <c r="C15" i="22"/>
  <c r="O19" i="10" s="1"/>
  <c r="G14" i="22"/>
  <c r="O18" i="14" s="1"/>
  <c r="F14" i="22"/>
  <c r="O18" i="13" s="1"/>
  <c r="E14" i="22"/>
  <c r="O18" i="11" s="1"/>
  <c r="D14" i="22"/>
  <c r="O18" i="12" s="1"/>
  <c r="C14" i="22"/>
  <c r="O18" i="10" s="1"/>
  <c r="G13" i="22"/>
  <c r="O17" i="14" s="1"/>
  <c r="F13" i="22"/>
  <c r="O17" i="13" s="1"/>
  <c r="E13" i="22"/>
  <c r="O17" i="11" s="1"/>
  <c r="D13" i="22"/>
  <c r="O17" i="12" s="1"/>
  <c r="C13" i="22"/>
  <c r="O17" i="10" s="1"/>
  <c r="G12" i="22"/>
  <c r="O16" i="14" s="1"/>
  <c r="F12" i="22"/>
  <c r="O16" i="13" s="1"/>
  <c r="E12" i="22"/>
  <c r="O16" i="11" s="1"/>
  <c r="D12" i="22"/>
  <c r="O16" i="12" s="1"/>
  <c r="C12" i="22"/>
  <c r="O16" i="10" s="1"/>
  <c r="G11" i="22"/>
  <c r="O15" i="14" s="1"/>
  <c r="F11" i="22"/>
  <c r="O15" i="13" s="1"/>
  <c r="E11" i="22"/>
  <c r="O15" i="11" s="1"/>
  <c r="D11" i="22"/>
  <c r="O15" i="12" s="1"/>
  <c r="C11" i="22"/>
  <c r="O15" i="10" s="1"/>
  <c r="G10" i="22"/>
  <c r="O14" i="14" s="1"/>
  <c r="F10" i="22"/>
  <c r="O14" i="13" s="1"/>
  <c r="E10" i="22"/>
  <c r="O14" i="11" s="1"/>
  <c r="D10" i="22"/>
  <c r="O14" i="12" s="1"/>
  <c r="C10" i="22"/>
  <c r="O14" i="10" s="1"/>
  <c r="G62" i="24"/>
  <c r="P66" i="14" s="1"/>
  <c r="F62" i="24"/>
  <c r="P66" i="13" s="1"/>
  <c r="E62" i="24"/>
  <c r="P66" i="11" s="1"/>
  <c r="D62" i="24"/>
  <c r="P66" i="12" s="1"/>
  <c r="C62" i="24"/>
  <c r="P66" i="10" s="1"/>
  <c r="G61" i="24"/>
  <c r="P65" i="14" s="1"/>
  <c r="F61" i="24"/>
  <c r="P65" i="13" s="1"/>
  <c r="E61" i="24"/>
  <c r="P65" i="11" s="1"/>
  <c r="D61" i="24"/>
  <c r="P65" i="12" s="1"/>
  <c r="C61" i="24"/>
  <c r="P65" i="10" s="1"/>
  <c r="G60" i="24"/>
  <c r="P64" i="14" s="1"/>
  <c r="F60" i="24"/>
  <c r="P64" i="13" s="1"/>
  <c r="E60" i="24"/>
  <c r="P64" i="11" s="1"/>
  <c r="D60" i="24"/>
  <c r="P64" i="12" s="1"/>
  <c r="C60" i="24"/>
  <c r="P64" i="10" s="1"/>
  <c r="G59" i="24"/>
  <c r="P63" i="14" s="1"/>
  <c r="F59" i="24"/>
  <c r="P63" i="13" s="1"/>
  <c r="E59" i="24"/>
  <c r="P63" i="11" s="1"/>
  <c r="D59" i="24"/>
  <c r="P63" i="12" s="1"/>
  <c r="C59" i="24"/>
  <c r="P63" i="10" s="1"/>
  <c r="G58" i="24"/>
  <c r="P62" i="14" s="1"/>
  <c r="F58" i="24"/>
  <c r="P62" i="13" s="1"/>
  <c r="E58" i="24"/>
  <c r="P62" i="11" s="1"/>
  <c r="D58" i="24"/>
  <c r="P62" i="12" s="1"/>
  <c r="C58" i="24"/>
  <c r="P62" i="10" s="1"/>
  <c r="G57" i="24"/>
  <c r="P61" i="14" s="1"/>
  <c r="F57" i="24"/>
  <c r="P61" i="13" s="1"/>
  <c r="E57" i="24"/>
  <c r="P61" i="11" s="1"/>
  <c r="D57" i="24"/>
  <c r="P61" i="12" s="1"/>
  <c r="C57" i="24"/>
  <c r="P61" i="10" s="1"/>
  <c r="G56" i="24"/>
  <c r="P60" i="14" s="1"/>
  <c r="F56" i="24"/>
  <c r="P60" i="13" s="1"/>
  <c r="E56" i="24"/>
  <c r="P60" i="11" s="1"/>
  <c r="D56" i="24"/>
  <c r="P60" i="12" s="1"/>
  <c r="C56" i="24"/>
  <c r="P60" i="10" s="1"/>
  <c r="G55" i="24"/>
  <c r="P59" i="14" s="1"/>
  <c r="F55" i="24"/>
  <c r="P59" i="13" s="1"/>
  <c r="E55" i="24"/>
  <c r="P59" i="11" s="1"/>
  <c r="D55" i="24"/>
  <c r="P59" i="12" s="1"/>
  <c r="C55" i="24"/>
  <c r="P59" i="10" s="1"/>
  <c r="G54" i="24"/>
  <c r="P58" i="14" s="1"/>
  <c r="F54" i="24"/>
  <c r="P58" i="13" s="1"/>
  <c r="E54" i="24"/>
  <c r="P58" i="11" s="1"/>
  <c r="D54" i="24"/>
  <c r="P58" i="12" s="1"/>
  <c r="C54" i="24"/>
  <c r="P58" i="10" s="1"/>
  <c r="G53" i="24"/>
  <c r="P57" i="14" s="1"/>
  <c r="F53" i="24"/>
  <c r="P57" i="13" s="1"/>
  <c r="E53" i="24"/>
  <c r="P57" i="11" s="1"/>
  <c r="D53" i="24"/>
  <c r="P57" i="12" s="1"/>
  <c r="C53" i="24"/>
  <c r="P57" i="10" s="1"/>
  <c r="G52" i="24"/>
  <c r="P56" i="14" s="1"/>
  <c r="F52" i="24"/>
  <c r="P56" i="13" s="1"/>
  <c r="E52" i="24"/>
  <c r="P56" i="11" s="1"/>
  <c r="D52" i="24"/>
  <c r="P56" i="12" s="1"/>
  <c r="C52" i="24"/>
  <c r="P56" i="10" s="1"/>
  <c r="G51" i="24"/>
  <c r="P55" i="14" s="1"/>
  <c r="F51" i="24"/>
  <c r="P55" i="13" s="1"/>
  <c r="E51" i="24"/>
  <c r="P55" i="11" s="1"/>
  <c r="D51" i="24"/>
  <c r="P55" i="12" s="1"/>
  <c r="C51" i="24"/>
  <c r="P55" i="10" s="1"/>
  <c r="G50" i="24"/>
  <c r="P54" i="14" s="1"/>
  <c r="F50" i="24"/>
  <c r="P54" i="13" s="1"/>
  <c r="E50" i="24"/>
  <c r="P54" i="11" s="1"/>
  <c r="D50" i="24"/>
  <c r="P54" i="12" s="1"/>
  <c r="C50" i="24"/>
  <c r="P54" i="10" s="1"/>
  <c r="G49" i="24"/>
  <c r="P53" i="14" s="1"/>
  <c r="F49" i="24"/>
  <c r="P53" i="13" s="1"/>
  <c r="E49" i="24"/>
  <c r="P53" i="11" s="1"/>
  <c r="D49" i="24"/>
  <c r="P53" i="12" s="1"/>
  <c r="C49" i="24"/>
  <c r="P53" i="10" s="1"/>
  <c r="G48" i="24"/>
  <c r="P52" i="14" s="1"/>
  <c r="F48" i="24"/>
  <c r="P52" i="13" s="1"/>
  <c r="E48" i="24"/>
  <c r="P52" i="11" s="1"/>
  <c r="D48" i="24"/>
  <c r="P52" i="12" s="1"/>
  <c r="C48" i="24"/>
  <c r="P52" i="10" s="1"/>
  <c r="G47" i="24"/>
  <c r="P51" i="14" s="1"/>
  <c r="F47" i="24"/>
  <c r="P51" i="13" s="1"/>
  <c r="E47" i="24"/>
  <c r="P51" i="11" s="1"/>
  <c r="D47" i="24"/>
  <c r="C47" i="24"/>
  <c r="P51" i="10" s="1"/>
  <c r="G46" i="24"/>
  <c r="P50" i="14" s="1"/>
  <c r="F46" i="24"/>
  <c r="P50" i="13" s="1"/>
  <c r="E46" i="24"/>
  <c r="P50" i="11" s="1"/>
  <c r="D46" i="24"/>
  <c r="P50" i="12" s="1"/>
  <c r="C46" i="24"/>
  <c r="P50" i="10" s="1"/>
  <c r="G45" i="24"/>
  <c r="P49" i="14" s="1"/>
  <c r="F45" i="24"/>
  <c r="E45" i="24"/>
  <c r="P49" i="11" s="1"/>
  <c r="D45" i="24"/>
  <c r="P49" i="12" s="1"/>
  <c r="C45" i="24"/>
  <c r="P49" i="10" s="1"/>
  <c r="G44" i="24"/>
  <c r="P48" i="14" s="1"/>
  <c r="F44" i="24"/>
  <c r="P48" i="13" s="1"/>
  <c r="E44" i="24"/>
  <c r="P48" i="11" s="1"/>
  <c r="D44" i="24"/>
  <c r="P48" i="12" s="1"/>
  <c r="C44" i="24"/>
  <c r="P48" i="10" s="1"/>
  <c r="G43" i="24"/>
  <c r="P47" i="14" s="1"/>
  <c r="F43" i="24"/>
  <c r="P47" i="13" s="1"/>
  <c r="E43" i="24"/>
  <c r="P47" i="11" s="1"/>
  <c r="D43" i="24"/>
  <c r="P47" i="12" s="1"/>
  <c r="C43" i="24"/>
  <c r="P47" i="10" s="1"/>
  <c r="G42" i="24"/>
  <c r="P46" i="14" s="1"/>
  <c r="F42" i="24"/>
  <c r="P46" i="13" s="1"/>
  <c r="E42" i="24"/>
  <c r="P46" i="11" s="1"/>
  <c r="D42" i="24"/>
  <c r="P46" i="12" s="1"/>
  <c r="C42" i="24"/>
  <c r="P46" i="10" s="1"/>
  <c r="G41" i="24"/>
  <c r="P45" i="14" s="1"/>
  <c r="F41" i="24"/>
  <c r="P45" i="13" s="1"/>
  <c r="E41" i="24"/>
  <c r="P45" i="11" s="1"/>
  <c r="D41" i="24"/>
  <c r="P45" i="12" s="1"/>
  <c r="C41" i="24"/>
  <c r="P45" i="10" s="1"/>
  <c r="G40" i="24"/>
  <c r="P44" i="14" s="1"/>
  <c r="F40" i="24"/>
  <c r="P44" i="13" s="1"/>
  <c r="E40" i="24"/>
  <c r="P44" i="11" s="1"/>
  <c r="D40" i="24"/>
  <c r="P44" i="12" s="1"/>
  <c r="C40" i="24"/>
  <c r="P44" i="10" s="1"/>
  <c r="G39" i="24"/>
  <c r="P43" i="14" s="1"/>
  <c r="F39" i="24"/>
  <c r="P43" i="13" s="1"/>
  <c r="E39" i="24"/>
  <c r="P43" i="11" s="1"/>
  <c r="D39" i="24"/>
  <c r="P43" i="12" s="1"/>
  <c r="C39" i="24"/>
  <c r="P43" i="10" s="1"/>
  <c r="G38" i="24"/>
  <c r="P42" i="14" s="1"/>
  <c r="F38" i="24"/>
  <c r="P42" i="13" s="1"/>
  <c r="E38" i="24"/>
  <c r="P42" i="11" s="1"/>
  <c r="D38" i="24"/>
  <c r="P42" i="12" s="1"/>
  <c r="C38" i="24"/>
  <c r="P42" i="10" s="1"/>
  <c r="G37" i="24"/>
  <c r="P41" i="14" s="1"/>
  <c r="F37" i="24"/>
  <c r="P41" i="13" s="1"/>
  <c r="E37" i="24"/>
  <c r="P41" i="11" s="1"/>
  <c r="D37" i="24"/>
  <c r="P41" i="12" s="1"/>
  <c r="C37" i="24"/>
  <c r="P41" i="10" s="1"/>
  <c r="G36" i="24"/>
  <c r="P40" i="14" s="1"/>
  <c r="F36" i="24"/>
  <c r="P40" i="13" s="1"/>
  <c r="E36" i="24"/>
  <c r="P40" i="11" s="1"/>
  <c r="D36" i="24"/>
  <c r="P40" i="12" s="1"/>
  <c r="C36" i="24"/>
  <c r="P40" i="10" s="1"/>
  <c r="G35" i="24"/>
  <c r="P39" i="14" s="1"/>
  <c r="F35" i="24"/>
  <c r="P39" i="13" s="1"/>
  <c r="E35" i="24"/>
  <c r="P39" i="11" s="1"/>
  <c r="D35" i="24"/>
  <c r="P39" i="12" s="1"/>
  <c r="C35" i="24"/>
  <c r="P39" i="10" s="1"/>
  <c r="G34" i="24"/>
  <c r="P38" i="14" s="1"/>
  <c r="F34" i="24"/>
  <c r="P38" i="13" s="1"/>
  <c r="E34" i="24"/>
  <c r="P38" i="11" s="1"/>
  <c r="D34" i="24"/>
  <c r="P38" i="12" s="1"/>
  <c r="C34" i="24"/>
  <c r="P38" i="10" s="1"/>
  <c r="G33" i="24"/>
  <c r="P37" i="14" s="1"/>
  <c r="F33" i="24"/>
  <c r="P37" i="13" s="1"/>
  <c r="E33" i="24"/>
  <c r="P37" i="11" s="1"/>
  <c r="D33" i="24"/>
  <c r="P37" i="12" s="1"/>
  <c r="C33" i="24"/>
  <c r="P37" i="10" s="1"/>
  <c r="G32" i="24"/>
  <c r="P36" i="14" s="1"/>
  <c r="F32" i="24"/>
  <c r="P36" i="13" s="1"/>
  <c r="E32" i="24"/>
  <c r="P36" i="11" s="1"/>
  <c r="D32" i="24"/>
  <c r="P36" i="12" s="1"/>
  <c r="C32" i="24"/>
  <c r="P36" i="10" s="1"/>
  <c r="G31" i="24"/>
  <c r="P35" i="14" s="1"/>
  <c r="F31" i="24"/>
  <c r="P35" i="13" s="1"/>
  <c r="E31" i="24"/>
  <c r="P35" i="11" s="1"/>
  <c r="D31" i="24"/>
  <c r="P35" i="12" s="1"/>
  <c r="C31" i="24"/>
  <c r="P35" i="10" s="1"/>
  <c r="G30" i="24"/>
  <c r="P34" i="14" s="1"/>
  <c r="F30" i="24"/>
  <c r="P34" i="13" s="1"/>
  <c r="E30" i="24"/>
  <c r="P34" i="11" s="1"/>
  <c r="D30" i="24"/>
  <c r="P34" i="12" s="1"/>
  <c r="C30" i="24"/>
  <c r="P34" i="10" s="1"/>
  <c r="G29" i="24"/>
  <c r="P33" i="14" s="1"/>
  <c r="F29" i="24"/>
  <c r="P33" i="13" s="1"/>
  <c r="E29" i="24"/>
  <c r="P33" i="11" s="1"/>
  <c r="D29" i="24"/>
  <c r="P33" i="12" s="1"/>
  <c r="C29" i="24"/>
  <c r="P33" i="10" s="1"/>
  <c r="G28" i="24"/>
  <c r="P32" i="14" s="1"/>
  <c r="F28" i="24"/>
  <c r="P32" i="13" s="1"/>
  <c r="E28" i="24"/>
  <c r="P32" i="11" s="1"/>
  <c r="D28" i="24"/>
  <c r="P32" i="12" s="1"/>
  <c r="C28" i="24"/>
  <c r="P32" i="10" s="1"/>
  <c r="G27" i="24"/>
  <c r="P31" i="14" s="1"/>
  <c r="F27" i="24"/>
  <c r="P31" i="13" s="1"/>
  <c r="E27" i="24"/>
  <c r="P31" i="11" s="1"/>
  <c r="D27" i="24"/>
  <c r="P31" i="12" s="1"/>
  <c r="C27" i="24"/>
  <c r="P31" i="10" s="1"/>
  <c r="G26" i="24"/>
  <c r="P30" i="14" s="1"/>
  <c r="F26" i="24"/>
  <c r="P30" i="13" s="1"/>
  <c r="E26" i="24"/>
  <c r="P30" i="11" s="1"/>
  <c r="D26" i="24"/>
  <c r="P30" i="12" s="1"/>
  <c r="C26" i="24"/>
  <c r="P30" i="10" s="1"/>
  <c r="G25" i="24"/>
  <c r="P29" i="14" s="1"/>
  <c r="F25" i="24"/>
  <c r="P29" i="13" s="1"/>
  <c r="E25" i="24"/>
  <c r="P29" i="11" s="1"/>
  <c r="D25" i="24"/>
  <c r="P29" i="12" s="1"/>
  <c r="C25" i="24"/>
  <c r="P29" i="10" s="1"/>
  <c r="G24" i="24"/>
  <c r="F24" i="24"/>
  <c r="P28" i="13" s="1"/>
  <c r="E24" i="24"/>
  <c r="P28" i="11" s="1"/>
  <c r="D24" i="24"/>
  <c r="P28" i="12" s="1"/>
  <c r="C24" i="24"/>
  <c r="P28" i="10" s="1"/>
  <c r="G23" i="24"/>
  <c r="P27" i="14" s="1"/>
  <c r="F23" i="24"/>
  <c r="P27" i="13" s="1"/>
  <c r="E23" i="24"/>
  <c r="P27" i="11" s="1"/>
  <c r="D23" i="24"/>
  <c r="P27" i="12" s="1"/>
  <c r="C23" i="24"/>
  <c r="P27" i="10" s="1"/>
  <c r="G22" i="24"/>
  <c r="P26" i="14" s="1"/>
  <c r="F22" i="24"/>
  <c r="P26" i="13" s="1"/>
  <c r="E22" i="24"/>
  <c r="P26" i="11" s="1"/>
  <c r="D22" i="24"/>
  <c r="P26" i="12" s="1"/>
  <c r="C22" i="24"/>
  <c r="P26" i="10" s="1"/>
  <c r="G21" i="24"/>
  <c r="P25" i="14" s="1"/>
  <c r="F21" i="24"/>
  <c r="P25" i="13" s="1"/>
  <c r="E21" i="24"/>
  <c r="P25" i="11" s="1"/>
  <c r="D21" i="24"/>
  <c r="P25" i="12" s="1"/>
  <c r="C21" i="24"/>
  <c r="P25" i="10" s="1"/>
  <c r="G20" i="24"/>
  <c r="P24" i="14" s="1"/>
  <c r="F20" i="24"/>
  <c r="P24" i="13" s="1"/>
  <c r="E20" i="24"/>
  <c r="P24" i="11" s="1"/>
  <c r="D20" i="24"/>
  <c r="P24" i="12" s="1"/>
  <c r="C20" i="24"/>
  <c r="P24" i="10" s="1"/>
  <c r="G19" i="24"/>
  <c r="P23" i="14" s="1"/>
  <c r="F19" i="24"/>
  <c r="P23" i="13" s="1"/>
  <c r="E19" i="24"/>
  <c r="P23" i="11" s="1"/>
  <c r="D19" i="24"/>
  <c r="P23" i="12" s="1"/>
  <c r="C19" i="24"/>
  <c r="P23" i="10" s="1"/>
  <c r="G18" i="24"/>
  <c r="P22" i="14" s="1"/>
  <c r="F18" i="24"/>
  <c r="P22" i="13" s="1"/>
  <c r="E18" i="24"/>
  <c r="P22" i="11" s="1"/>
  <c r="D18" i="24"/>
  <c r="P22" i="12" s="1"/>
  <c r="C18" i="24"/>
  <c r="P22" i="10" s="1"/>
  <c r="G17" i="24"/>
  <c r="P21" i="14" s="1"/>
  <c r="F17" i="24"/>
  <c r="P21" i="13" s="1"/>
  <c r="E17" i="24"/>
  <c r="P21" i="11" s="1"/>
  <c r="D17" i="24"/>
  <c r="P21" i="12" s="1"/>
  <c r="C17" i="24"/>
  <c r="P21" i="10" s="1"/>
  <c r="G16" i="24"/>
  <c r="P20" i="14" s="1"/>
  <c r="F16" i="24"/>
  <c r="P20" i="13" s="1"/>
  <c r="E16" i="24"/>
  <c r="P20" i="11" s="1"/>
  <c r="D16" i="24"/>
  <c r="P20" i="12" s="1"/>
  <c r="C16" i="24"/>
  <c r="P20" i="10" s="1"/>
  <c r="G15" i="24"/>
  <c r="P19" i="14" s="1"/>
  <c r="F15" i="24"/>
  <c r="P19" i="13" s="1"/>
  <c r="E15" i="24"/>
  <c r="P19" i="11" s="1"/>
  <c r="D15" i="24"/>
  <c r="P19" i="12" s="1"/>
  <c r="C15" i="24"/>
  <c r="P19" i="10" s="1"/>
  <c r="G14" i="24"/>
  <c r="P18" i="14" s="1"/>
  <c r="F14" i="24"/>
  <c r="P18" i="13" s="1"/>
  <c r="E14" i="24"/>
  <c r="P18" i="11" s="1"/>
  <c r="D14" i="24"/>
  <c r="P18" i="12" s="1"/>
  <c r="C14" i="24"/>
  <c r="P18" i="10" s="1"/>
  <c r="G13" i="24"/>
  <c r="P17" i="14" s="1"/>
  <c r="F13" i="24"/>
  <c r="P17" i="13" s="1"/>
  <c r="E13" i="24"/>
  <c r="P17" i="11" s="1"/>
  <c r="D13" i="24"/>
  <c r="P17" i="12" s="1"/>
  <c r="C13" i="24"/>
  <c r="P17" i="10" s="1"/>
  <c r="G12" i="24"/>
  <c r="P16" i="14" s="1"/>
  <c r="F12" i="24"/>
  <c r="P16" i="13" s="1"/>
  <c r="E12" i="24"/>
  <c r="P16" i="11" s="1"/>
  <c r="D12" i="24"/>
  <c r="P16" i="12" s="1"/>
  <c r="C12" i="24"/>
  <c r="G11" i="24"/>
  <c r="P15" i="14" s="1"/>
  <c r="F11" i="24"/>
  <c r="P15" i="13" s="1"/>
  <c r="E11" i="24"/>
  <c r="P15" i="11" s="1"/>
  <c r="D11" i="24"/>
  <c r="P15" i="12" s="1"/>
  <c r="C11" i="24"/>
  <c r="P15" i="10" s="1"/>
  <c r="G10" i="24"/>
  <c r="P14" i="14" s="1"/>
  <c r="F10" i="24"/>
  <c r="P14" i="13" s="1"/>
  <c r="E10" i="24"/>
  <c r="P14" i="11" s="1"/>
  <c r="D10" i="24"/>
  <c r="C10" i="24"/>
  <c r="P14" i="10" s="1"/>
  <c r="G62" i="25"/>
  <c r="Q66" i="14" s="1"/>
  <c r="F62" i="25"/>
  <c r="Q66" i="13" s="1"/>
  <c r="E62" i="25"/>
  <c r="Q66" i="11" s="1"/>
  <c r="D62" i="25"/>
  <c r="Q66" i="12" s="1"/>
  <c r="C62" i="25"/>
  <c r="Q66" i="10" s="1"/>
  <c r="G61" i="25"/>
  <c r="Q65" i="14" s="1"/>
  <c r="F61" i="25"/>
  <c r="Q65" i="13" s="1"/>
  <c r="E61" i="25"/>
  <c r="Q65" i="11" s="1"/>
  <c r="D61" i="25"/>
  <c r="Q65" i="12" s="1"/>
  <c r="C61" i="25"/>
  <c r="Q65" i="10" s="1"/>
  <c r="G60" i="25"/>
  <c r="Q64" i="14" s="1"/>
  <c r="F60" i="25"/>
  <c r="Q64" i="13" s="1"/>
  <c r="E60" i="25"/>
  <c r="Q64" i="11" s="1"/>
  <c r="D60" i="25"/>
  <c r="Q64" i="12" s="1"/>
  <c r="C60" i="25"/>
  <c r="Q64" i="10" s="1"/>
  <c r="G59" i="25"/>
  <c r="Q63" i="14" s="1"/>
  <c r="F59" i="25"/>
  <c r="Q63" i="13" s="1"/>
  <c r="E59" i="25"/>
  <c r="Q63" i="11" s="1"/>
  <c r="D59" i="25"/>
  <c r="Q63" i="12" s="1"/>
  <c r="C59" i="25"/>
  <c r="Q63" i="10" s="1"/>
  <c r="G58" i="25"/>
  <c r="Q62" i="14" s="1"/>
  <c r="F58" i="25"/>
  <c r="Q62" i="13" s="1"/>
  <c r="E58" i="25"/>
  <c r="Q62" i="11" s="1"/>
  <c r="D58" i="25"/>
  <c r="Q62" i="12" s="1"/>
  <c r="C58" i="25"/>
  <c r="Q62" i="10" s="1"/>
  <c r="G57" i="25"/>
  <c r="Q61" i="14" s="1"/>
  <c r="F57" i="25"/>
  <c r="Q61" i="13" s="1"/>
  <c r="E57" i="25"/>
  <c r="Q61" i="11" s="1"/>
  <c r="D57" i="25"/>
  <c r="Q61" i="12" s="1"/>
  <c r="C57" i="25"/>
  <c r="G56" i="25"/>
  <c r="Q60" i="14" s="1"/>
  <c r="F56" i="25"/>
  <c r="Q60" i="13" s="1"/>
  <c r="E56" i="25"/>
  <c r="Q60" i="11" s="1"/>
  <c r="D56" i="25"/>
  <c r="Q60" i="12" s="1"/>
  <c r="C56" i="25"/>
  <c r="Q60" i="10" s="1"/>
  <c r="G55" i="25"/>
  <c r="Q59" i="14" s="1"/>
  <c r="F55" i="25"/>
  <c r="Q59" i="13" s="1"/>
  <c r="E55" i="25"/>
  <c r="Q59" i="11" s="1"/>
  <c r="D55" i="25"/>
  <c r="Q59" i="12" s="1"/>
  <c r="C55" i="25"/>
  <c r="Q59" i="10" s="1"/>
  <c r="G54" i="25"/>
  <c r="Q58" i="14" s="1"/>
  <c r="F54" i="25"/>
  <c r="Q58" i="13" s="1"/>
  <c r="E54" i="25"/>
  <c r="Q58" i="11" s="1"/>
  <c r="D54" i="25"/>
  <c r="Q58" i="12" s="1"/>
  <c r="C54" i="25"/>
  <c r="Q58" i="10" s="1"/>
  <c r="G53" i="25"/>
  <c r="Q57" i="14" s="1"/>
  <c r="F53" i="25"/>
  <c r="Q57" i="13" s="1"/>
  <c r="E53" i="25"/>
  <c r="Q57" i="11" s="1"/>
  <c r="D53" i="25"/>
  <c r="Q57" i="12" s="1"/>
  <c r="C53" i="25"/>
  <c r="Q57" i="10" s="1"/>
  <c r="G52" i="25"/>
  <c r="Q56" i="14" s="1"/>
  <c r="F52" i="25"/>
  <c r="Q56" i="13" s="1"/>
  <c r="E52" i="25"/>
  <c r="Q56" i="11" s="1"/>
  <c r="D52" i="25"/>
  <c r="C52" i="25"/>
  <c r="Q56" i="10" s="1"/>
  <c r="G51" i="25"/>
  <c r="Q55" i="14" s="1"/>
  <c r="F51" i="25"/>
  <c r="Q55" i="13" s="1"/>
  <c r="E51" i="25"/>
  <c r="Q55" i="11" s="1"/>
  <c r="D51" i="25"/>
  <c r="Q55" i="12" s="1"/>
  <c r="C51" i="25"/>
  <c r="Q55" i="10" s="1"/>
  <c r="G50" i="25"/>
  <c r="Q54" i="14" s="1"/>
  <c r="F50" i="25"/>
  <c r="Q54" i="13" s="1"/>
  <c r="E50" i="25"/>
  <c r="Q54" i="11" s="1"/>
  <c r="D50" i="25"/>
  <c r="Q54" i="12" s="1"/>
  <c r="C50" i="25"/>
  <c r="Q54" i="10" s="1"/>
  <c r="G49" i="25"/>
  <c r="Q53" i="14" s="1"/>
  <c r="F49" i="25"/>
  <c r="Q53" i="13" s="1"/>
  <c r="E49" i="25"/>
  <c r="Q53" i="11" s="1"/>
  <c r="D49" i="25"/>
  <c r="Q53" i="12" s="1"/>
  <c r="C49" i="25"/>
  <c r="Q53" i="10" s="1"/>
  <c r="G48" i="25"/>
  <c r="Q52" i="14" s="1"/>
  <c r="F48" i="25"/>
  <c r="Q52" i="13" s="1"/>
  <c r="E48" i="25"/>
  <c r="Q52" i="11" s="1"/>
  <c r="D48" i="25"/>
  <c r="Q52" i="12" s="1"/>
  <c r="C48" i="25"/>
  <c r="Q52" i="10" s="1"/>
  <c r="G47" i="25"/>
  <c r="Q51" i="14" s="1"/>
  <c r="F47" i="25"/>
  <c r="Q51" i="13" s="1"/>
  <c r="E47" i="25"/>
  <c r="Q51" i="11" s="1"/>
  <c r="D47" i="25"/>
  <c r="Q51" i="12" s="1"/>
  <c r="C47" i="25"/>
  <c r="Q51" i="10" s="1"/>
  <c r="G46" i="25"/>
  <c r="Q50" i="14" s="1"/>
  <c r="F46" i="25"/>
  <c r="Q50" i="13" s="1"/>
  <c r="E46" i="25"/>
  <c r="Q50" i="11" s="1"/>
  <c r="D46" i="25"/>
  <c r="Q50" i="12" s="1"/>
  <c r="C46" i="25"/>
  <c r="Q50" i="10" s="1"/>
  <c r="G45" i="25"/>
  <c r="Q49" i="14" s="1"/>
  <c r="F45" i="25"/>
  <c r="Q49" i="13" s="1"/>
  <c r="E45" i="25"/>
  <c r="Q49" i="11" s="1"/>
  <c r="D45" i="25"/>
  <c r="Q49" i="12" s="1"/>
  <c r="C45" i="25"/>
  <c r="Q49" i="10" s="1"/>
  <c r="G44" i="25"/>
  <c r="Q48" i="14" s="1"/>
  <c r="F44" i="25"/>
  <c r="Q48" i="13" s="1"/>
  <c r="E44" i="25"/>
  <c r="Q48" i="11" s="1"/>
  <c r="D44" i="25"/>
  <c r="C44" i="25"/>
  <c r="Q48" i="10" s="1"/>
  <c r="G43" i="25"/>
  <c r="Q47" i="14" s="1"/>
  <c r="F43" i="25"/>
  <c r="Q47" i="13" s="1"/>
  <c r="E43" i="25"/>
  <c r="Q47" i="11" s="1"/>
  <c r="D43" i="25"/>
  <c r="Q47" i="12" s="1"/>
  <c r="C43" i="25"/>
  <c r="Q47" i="10" s="1"/>
  <c r="G42" i="25"/>
  <c r="Q46" i="14" s="1"/>
  <c r="F42" i="25"/>
  <c r="Q46" i="13" s="1"/>
  <c r="E42" i="25"/>
  <c r="Q46" i="11" s="1"/>
  <c r="D42" i="25"/>
  <c r="Q46" i="12" s="1"/>
  <c r="C42" i="25"/>
  <c r="Q46" i="10" s="1"/>
  <c r="G41" i="25"/>
  <c r="Q45" i="14" s="1"/>
  <c r="F41" i="25"/>
  <c r="Q45" i="13" s="1"/>
  <c r="E41" i="25"/>
  <c r="Q45" i="11" s="1"/>
  <c r="D41" i="25"/>
  <c r="Q45" i="12" s="1"/>
  <c r="C41" i="25"/>
  <c r="Q45" i="10" s="1"/>
  <c r="G40" i="25"/>
  <c r="Q44" i="14" s="1"/>
  <c r="F40" i="25"/>
  <c r="Q44" i="13" s="1"/>
  <c r="E40" i="25"/>
  <c r="Q44" i="11" s="1"/>
  <c r="D40" i="25"/>
  <c r="Q44" i="12" s="1"/>
  <c r="C40" i="25"/>
  <c r="Q44" i="10" s="1"/>
  <c r="G39" i="25"/>
  <c r="Q43" i="14" s="1"/>
  <c r="F39" i="25"/>
  <c r="Q43" i="13" s="1"/>
  <c r="E39" i="25"/>
  <c r="Q43" i="11" s="1"/>
  <c r="D39" i="25"/>
  <c r="Q43" i="12" s="1"/>
  <c r="C39" i="25"/>
  <c r="Q43" i="10" s="1"/>
  <c r="G38" i="25"/>
  <c r="Q42" i="14" s="1"/>
  <c r="F38" i="25"/>
  <c r="Q42" i="13" s="1"/>
  <c r="E38" i="25"/>
  <c r="Q42" i="11" s="1"/>
  <c r="D38" i="25"/>
  <c r="Q42" i="12" s="1"/>
  <c r="C38" i="25"/>
  <c r="Q42" i="10" s="1"/>
  <c r="G37" i="25"/>
  <c r="Q41" i="14" s="1"/>
  <c r="F37" i="25"/>
  <c r="Q41" i="13" s="1"/>
  <c r="E37" i="25"/>
  <c r="Q41" i="11" s="1"/>
  <c r="D37" i="25"/>
  <c r="Q41" i="12" s="1"/>
  <c r="C37" i="25"/>
  <c r="Q41" i="10" s="1"/>
  <c r="G36" i="25"/>
  <c r="Q40" i="14" s="1"/>
  <c r="F36" i="25"/>
  <c r="Q40" i="13" s="1"/>
  <c r="E36" i="25"/>
  <c r="Q40" i="11" s="1"/>
  <c r="D36" i="25"/>
  <c r="Q40" i="12" s="1"/>
  <c r="C36" i="25"/>
  <c r="Q40" i="10" s="1"/>
  <c r="G35" i="25"/>
  <c r="Q39" i="14" s="1"/>
  <c r="F35" i="25"/>
  <c r="Q39" i="13" s="1"/>
  <c r="E35" i="25"/>
  <c r="Q39" i="11" s="1"/>
  <c r="D35" i="25"/>
  <c r="Q39" i="12" s="1"/>
  <c r="C35" i="25"/>
  <c r="Q39" i="10" s="1"/>
  <c r="G34" i="25"/>
  <c r="Q38" i="14" s="1"/>
  <c r="F34" i="25"/>
  <c r="E34" i="25"/>
  <c r="Q38" i="11" s="1"/>
  <c r="D34" i="25"/>
  <c r="Q38" i="12" s="1"/>
  <c r="C34" i="25"/>
  <c r="Q38" i="10" s="1"/>
  <c r="G33" i="25"/>
  <c r="Q37" i="14" s="1"/>
  <c r="F33" i="25"/>
  <c r="Q37" i="13" s="1"/>
  <c r="E33" i="25"/>
  <c r="Q37" i="11" s="1"/>
  <c r="D33" i="25"/>
  <c r="Q37" i="12" s="1"/>
  <c r="C33" i="25"/>
  <c r="Q37" i="10" s="1"/>
  <c r="G32" i="25"/>
  <c r="Q36" i="14" s="1"/>
  <c r="F32" i="25"/>
  <c r="Q36" i="13" s="1"/>
  <c r="E32" i="25"/>
  <c r="Q36" i="11" s="1"/>
  <c r="D32" i="25"/>
  <c r="Q36" i="12" s="1"/>
  <c r="C32" i="25"/>
  <c r="Q36" i="10" s="1"/>
  <c r="G31" i="25"/>
  <c r="Q35" i="14" s="1"/>
  <c r="F31" i="25"/>
  <c r="Q35" i="13" s="1"/>
  <c r="E31" i="25"/>
  <c r="Q35" i="11" s="1"/>
  <c r="D31" i="25"/>
  <c r="Q35" i="12" s="1"/>
  <c r="C31" i="25"/>
  <c r="Q35" i="10" s="1"/>
  <c r="G30" i="25"/>
  <c r="Q34" i="14" s="1"/>
  <c r="F30" i="25"/>
  <c r="Q34" i="13" s="1"/>
  <c r="E30" i="25"/>
  <c r="Q34" i="11" s="1"/>
  <c r="D30" i="25"/>
  <c r="Q34" i="12" s="1"/>
  <c r="C30" i="25"/>
  <c r="Q34" i="10" s="1"/>
  <c r="G29" i="25"/>
  <c r="Q33" i="14" s="1"/>
  <c r="F29" i="25"/>
  <c r="Q33" i="13" s="1"/>
  <c r="E29" i="25"/>
  <c r="Q33" i="11" s="1"/>
  <c r="D29" i="25"/>
  <c r="Q33" i="12" s="1"/>
  <c r="C29" i="25"/>
  <c r="Q33" i="10" s="1"/>
  <c r="G28" i="25"/>
  <c r="Q32" i="14" s="1"/>
  <c r="F28" i="25"/>
  <c r="Q32" i="13" s="1"/>
  <c r="E28" i="25"/>
  <c r="Q32" i="11" s="1"/>
  <c r="D28" i="25"/>
  <c r="Q32" i="12" s="1"/>
  <c r="C28" i="25"/>
  <c r="Q32" i="10" s="1"/>
  <c r="G27" i="25"/>
  <c r="Q31" i="14" s="1"/>
  <c r="F27" i="25"/>
  <c r="Q31" i="13" s="1"/>
  <c r="E27" i="25"/>
  <c r="Q31" i="11" s="1"/>
  <c r="D27" i="25"/>
  <c r="Q31" i="12" s="1"/>
  <c r="C27" i="25"/>
  <c r="Q31" i="10" s="1"/>
  <c r="G26" i="25"/>
  <c r="Q30" i="14" s="1"/>
  <c r="F26" i="25"/>
  <c r="Q30" i="13" s="1"/>
  <c r="E26" i="25"/>
  <c r="Q30" i="11" s="1"/>
  <c r="D26" i="25"/>
  <c r="Q30" i="12" s="1"/>
  <c r="C26" i="25"/>
  <c r="Q30" i="10" s="1"/>
  <c r="G25" i="25"/>
  <c r="Q29" i="14" s="1"/>
  <c r="F25" i="25"/>
  <c r="Q29" i="13" s="1"/>
  <c r="E25" i="25"/>
  <c r="Q29" i="11" s="1"/>
  <c r="D25" i="25"/>
  <c r="Q29" i="12" s="1"/>
  <c r="C25" i="25"/>
  <c r="G24" i="25"/>
  <c r="Q28" i="14" s="1"/>
  <c r="F24" i="25"/>
  <c r="Q28" i="13" s="1"/>
  <c r="E24" i="25"/>
  <c r="Q28" i="11" s="1"/>
  <c r="D24" i="25"/>
  <c r="Q28" i="12" s="1"/>
  <c r="C24" i="25"/>
  <c r="Q28" i="10" s="1"/>
  <c r="G23" i="25"/>
  <c r="Q27" i="14" s="1"/>
  <c r="F23" i="25"/>
  <c r="Q27" i="13" s="1"/>
  <c r="E23" i="25"/>
  <c r="Q27" i="11" s="1"/>
  <c r="D23" i="25"/>
  <c r="Q27" i="12" s="1"/>
  <c r="C23" i="25"/>
  <c r="Q27" i="10" s="1"/>
  <c r="G22" i="25"/>
  <c r="Q26" i="14" s="1"/>
  <c r="F22" i="25"/>
  <c r="Q26" i="13" s="1"/>
  <c r="E22" i="25"/>
  <c r="Q26" i="11" s="1"/>
  <c r="D22" i="25"/>
  <c r="Q26" i="12" s="1"/>
  <c r="C22" i="25"/>
  <c r="Q26" i="10" s="1"/>
  <c r="G21" i="25"/>
  <c r="Q25" i="14" s="1"/>
  <c r="F21" i="25"/>
  <c r="Q25" i="13" s="1"/>
  <c r="E21" i="25"/>
  <c r="Q25" i="11" s="1"/>
  <c r="D21" i="25"/>
  <c r="Q25" i="12" s="1"/>
  <c r="C21" i="25"/>
  <c r="Q25" i="10" s="1"/>
  <c r="G20" i="25"/>
  <c r="Q24" i="14" s="1"/>
  <c r="F20" i="25"/>
  <c r="Q24" i="13" s="1"/>
  <c r="E20" i="25"/>
  <c r="Q24" i="11" s="1"/>
  <c r="D20" i="25"/>
  <c r="C20" i="25"/>
  <c r="Q24" i="10" s="1"/>
  <c r="G19" i="25"/>
  <c r="Q23" i="14" s="1"/>
  <c r="F19" i="25"/>
  <c r="Q23" i="13" s="1"/>
  <c r="E19" i="25"/>
  <c r="Q23" i="11" s="1"/>
  <c r="D19" i="25"/>
  <c r="Q23" i="12" s="1"/>
  <c r="C19" i="25"/>
  <c r="Q23" i="10" s="1"/>
  <c r="G18" i="25"/>
  <c r="Q22" i="14" s="1"/>
  <c r="F18" i="25"/>
  <c r="Q22" i="13" s="1"/>
  <c r="E18" i="25"/>
  <c r="Q22" i="11" s="1"/>
  <c r="D18" i="25"/>
  <c r="Q22" i="12" s="1"/>
  <c r="C18" i="25"/>
  <c r="Q22" i="10" s="1"/>
  <c r="G17" i="25"/>
  <c r="Q21" i="14" s="1"/>
  <c r="F17" i="25"/>
  <c r="Q21" i="13" s="1"/>
  <c r="E17" i="25"/>
  <c r="Q21" i="11" s="1"/>
  <c r="D17" i="25"/>
  <c r="Q21" i="12" s="1"/>
  <c r="C17" i="25"/>
  <c r="Q21" i="10" s="1"/>
  <c r="G16" i="25"/>
  <c r="Q20" i="14" s="1"/>
  <c r="F16" i="25"/>
  <c r="Q20" i="13" s="1"/>
  <c r="E16" i="25"/>
  <c r="Q20" i="11" s="1"/>
  <c r="D16" i="25"/>
  <c r="Q20" i="12" s="1"/>
  <c r="C16" i="25"/>
  <c r="Q20" i="10" s="1"/>
  <c r="G15" i="25"/>
  <c r="Q19" i="14" s="1"/>
  <c r="F15" i="25"/>
  <c r="Q19" i="13" s="1"/>
  <c r="E15" i="25"/>
  <c r="Q19" i="11" s="1"/>
  <c r="D15" i="25"/>
  <c r="Q19" i="12" s="1"/>
  <c r="C15" i="25"/>
  <c r="Q19" i="10" s="1"/>
  <c r="G14" i="25"/>
  <c r="Q18" i="14" s="1"/>
  <c r="F14" i="25"/>
  <c r="Q18" i="13" s="1"/>
  <c r="E14" i="25"/>
  <c r="Q18" i="11" s="1"/>
  <c r="D14" i="25"/>
  <c r="Q18" i="12" s="1"/>
  <c r="C14" i="25"/>
  <c r="Q18" i="10" s="1"/>
  <c r="G13" i="25"/>
  <c r="F13" i="25"/>
  <c r="Q17" i="13" s="1"/>
  <c r="E13" i="25"/>
  <c r="Q17" i="11" s="1"/>
  <c r="D13" i="25"/>
  <c r="Q17" i="12" s="1"/>
  <c r="C13" i="25"/>
  <c r="Q17" i="10" s="1"/>
  <c r="G12" i="25"/>
  <c r="Q16" i="14" s="1"/>
  <c r="F12" i="25"/>
  <c r="Q16" i="13" s="1"/>
  <c r="E12" i="25"/>
  <c r="Q16" i="11" s="1"/>
  <c r="D12" i="25"/>
  <c r="C12" i="25"/>
  <c r="Q16" i="10" s="1"/>
  <c r="G11" i="25"/>
  <c r="Q15" i="14" s="1"/>
  <c r="F11" i="25"/>
  <c r="Q15" i="13" s="1"/>
  <c r="E11" i="25"/>
  <c r="Q15" i="11" s="1"/>
  <c r="D11" i="25"/>
  <c r="Q15" i="12" s="1"/>
  <c r="C11" i="25"/>
  <c r="Q15" i="10" s="1"/>
  <c r="G10" i="25"/>
  <c r="Q14" i="14" s="1"/>
  <c r="F10" i="25"/>
  <c r="Q14" i="13" s="1"/>
  <c r="E10" i="25"/>
  <c r="Q14" i="11" s="1"/>
  <c r="D10" i="25"/>
  <c r="Q14" i="12" s="1"/>
  <c r="C10" i="25"/>
  <c r="Q14" i="10" s="1"/>
  <c r="G62" i="26"/>
  <c r="R66" i="14" s="1"/>
  <c r="F62" i="26"/>
  <c r="R66" i="13" s="1"/>
  <c r="E62" i="26"/>
  <c r="R66" i="11" s="1"/>
  <c r="D62" i="26"/>
  <c r="R66" i="12" s="1"/>
  <c r="C62" i="26"/>
  <c r="R66" i="10" s="1"/>
  <c r="G61" i="26"/>
  <c r="R65" i="14" s="1"/>
  <c r="F61" i="26"/>
  <c r="R65" i="13" s="1"/>
  <c r="E61" i="26"/>
  <c r="R65" i="11" s="1"/>
  <c r="D61" i="26"/>
  <c r="R65" i="12" s="1"/>
  <c r="C61" i="26"/>
  <c r="R65" i="10" s="1"/>
  <c r="G60" i="26"/>
  <c r="R64" i="14" s="1"/>
  <c r="F60" i="26"/>
  <c r="R64" i="13" s="1"/>
  <c r="E60" i="26"/>
  <c r="R64" i="11" s="1"/>
  <c r="D60" i="26"/>
  <c r="C60" i="26"/>
  <c r="R64" i="10" s="1"/>
  <c r="G59" i="26"/>
  <c r="R63" i="14" s="1"/>
  <c r="F59" i="26"/>
  <c r="R63" i="13" s="1"/>
  <c r="E59" i="26"/>
  <c r="R63" i="11" s="1"/>
  <c r="D59" i="26"/>
  <c r="R63" i="12" s="1"/>
  <c r="C59" i="26"/>
  <c r="R63" i="10" s="1"/>
  <c r="G58" i="26"/>
  <c r="R62" i="14" s="1"/>
  <c r="F58" i="26"/>
  <c r="R62" i="13" s="1"/>
  <c r="E58" i="26"/>
  <c r="R62" i="11" s="1"/>
  <c r="D58" i="26"/>
  <c r="R62" i="12" s="1"/>
  <c r="C58" i="26"/>
  <c r="R62" i="10" s="1"/>
  <c r="G57" i="26"/>
  <c r="R61" i="14" s="1"/>
  <c r="F57" i="26"/>
  <c r="R61" i="13" s="1"/>
  <c r="E57" i="26"/>
  <c r="R61" i="11" s="1"/>
  <c r="D57" i="26"/>
  <c r="R61" i="12" s="1"/>
  <c r="C57" i="26"/>
  <c r="R61" i="10" s="1"/>
  <c r="G56" i="26"/>
  <c r="R60" i="14" s="1"/>
  <c r="F56" i="26"/>
  <c r="R60" i="13" s="1"/>
  <c r="E56" i="26"/>
  <c r="R60" i="11" s="1"/>
  <c r="D56" i="26"/>
  <c r="R60" i="12" s="1"/>
  <c r="C56" i="26"/>
  <c r="R60" i="10" s="1"/>
  <c r="G55" i="26"/>
  <c r="R59" i="14" s="1"/>
  <c r="F55" i="26"/>
  <c r="R59" i="13" s="1"/>
  <c r="E55" i="26"/>
  <c r="R59" i="11" s="1"/>
  <c r="D55" i="26"/>
  <c r="R59" i="12" s="1"/>
  <c r="C55" i="26"/>
  <c r="R59" i="10" s="1"/>
  <c r="G54" i="26"/>
  <c r="R58" i="14" s="1"/>
  <c r="F54" i="26"/>
  <c r="R58" i="13" s="1"/>
  <c r="E54" i="26"/>
  <c r="R58" i="11" s="1"/>
  <c r="D54" i="26"/>
  <c r="R58" i="12" s="1"/>
  <c r="C54" i="26"/>
  <c r="R58" i="10" s="1"/>
  <c r="G53" i="26"/>
  <c r="R57" i="14" s="1"/>
  <c r="F53" i="26"/>
  <c r="R57" i="13" s="1"/>
  <c r="E53" i="26"/>
  <c r="R57" i="11" s="1"/>
  <c r="D53" i="26"/>
  <c r="R57" i="12" s="1"/>
  <c r="C53" i="26"/>
  <c r="R57" i="10" s="1"/>
  <c r="G52" i="26"/>
  <c r="R56" i="14" s="1"/>
  <c r="F52" i="26"/>
  <c r="R56" i="13" s="1"/>
  <c r="E52" i="26"/>
  <c r="R56" i="11" s="1"/>
  <c r="D52" i="26"/>
  <c r="R56" i="12" s="1"/>
  <c r="C52" i="26"/>
  <c r="R56" i="10" s="1"/>
  <c r="G51" i="26"/>
  <c r="R55" i="14" s="1"/>
  <c r="F51" i="26"/>
  <c r="R55" i="13" s="1"/>
  <c r="E51" i="26"/>
  <c r="R55" i="11" s="1"/>
  <c r="D51" i="26"/>
  <c r="R55" i="12" s="1"/>
  <c r="C51" i="26"/>
  <c r="R55" i="10" s="1"/>
  <c r="G50" i="26"/>
  <c r="R54" i="14" s="1"/>
  <c r="F50" i="26"/>
  <c r="R54" i="13" s="1"/>
  <c r="E50" i="26"/>
  <c r="R54" i="11" s="1"/>
  <c r="D50" i="26"/>
  <c r="R54" i="12" s="1"/>
  <c r="C50" i="26"/>
  <c r="R54" i="10" s="1"/>
  <c r="G49" i="26"/>
  <c r="R53" i="14" s="1"/>
  <c r="F49" i="26"/>
  <c r="R53" i="13" s="1"/>
  <c r="E49" i="26"/>
  <c r="R53" i="11" s="1"/>
  <c r="D49" i="26"/>
  <c r="C49" i="26"/>
  <c r="R53" i="10" s="1"/>
  <c r="G48" i="26"/>
  <c r="R52" i="14" s="1"/>
  <c r="F48" i="26"/>
  <c r="R52" i="13" s="1"/>
  <c r="E48" i="26"/>
  <c r="R52" i="11" s="1"/>
  <c r="D48" i="26"/>
  <c r="R52" i="12" s="1"/>
  <c r="C48" i="26"/>
  <c r="R52" i="10" s="1"/>
  <c r="G47" i="26"/>
  <c r="R51" i="14" s="1"/>
  <c r="F47" i="26"/>
  <c r="R51" i="13" s="1"/>
  <c r="E47" i="26"/>
  <c r="R51" i="11" s="1"/>
  <c r="D47" i="26"/>
  <c r="R51" i="12" s="1"/>
  <c r="C47" i="26"/>
  <c r="R51" i="10" s="1"/>
  <c r="G46" i="26"/>
  <c r="R50" i="14" s="1"/>
  <c r="F46" i="26"/>
  <c r="R50" i="13" s="1"/>
  <c r="E46" i="26"/>
  <c r="R50" i="11" s="1"/>
  <c r="D46" i="26"/>
  <c r="R50" i="12" s="1"/>
  <c r="C46" i="26"/>
  <c r="G45" i="26"/>
  <c r="R49" i="14" s="1"/>
  <c r="F45" i="26"/>
  <c r="R49" i="13" s="1"/>
  <c r="E45" i="26"/>
  <c r="R49" i="11" s="1"/>
  <c r="D45" i="26"/>
  <c r="R49" i="12" s="1"/>
  <c r="C45" i="26"/>
  <c r="R49" i="10" s="1"/>
  <c r="G44" i="26"/>
  <c r="R48" i="14" s="1"/>
  <c r="F44" i="26"/>
  <c r="R48" i="13" s="1"/>
  <c r="E44" i="26"/>
  <c r="R48" i="11" s="1"/>
  <c r="D44" i="26"/>
  <c r="R48" i="12" s="1"/>
  <c r="C44" i="26"/>
  <c r="R48" i="10" s="1"/>
  <c r="G43" i="26"/>
  <c r="R47" i="14" s="1"/>
  <c r="F43" i="26"/>
  <c r="R47" i="13" s="1"/>
  <c r="E43" i="26"/>
  <c r="R47" i="11" s="1"/>
  <c r="D43" i="26"/>
  <c r="R47" i="12" s="1"/>
  <c r="C43" i="26"/>
  <c r="R47" i="10" s="1"/>
  <c r="G42" i="26"/>
  <c r="F42" i="26"/>
  <c r="R46" i="13" s="1"/>
  <c r="E42" i="26"/>
  <c r="R46" i="11" s="1"/>
  <c r="D42" i="26"/>
  <c r="R46" i="12" s="1"/>
  <c r="C42" i="26"/>
  <c r="R46" i="10" s="1"/>
  <c r="G41" i="26"/>
  <c r="R45" i="14" s="1"/>
  <c r="F41" i="26"/>
  <c r="R45" i="13" s="1"/>
  <c r="E41" i="26"/>
  <c r="R45" i="11" s="1"/>
  <c r="D41" i="26"/>
  <c r="R45" i="12" s="1"/>
  <c r="C41" i="26"/>
  <c r="R45" i="10" s="1"/>
  <c r="G40" i="26"/>
  <c r="R44" i="14" s="1"/>
  <c r="F40" i="26"/>
  <c r="R44" i="13" s="1"/>
  <c r="E40" i="26"/>
  <c r="R44" i="11" s="1"/>
  <c r="D40" i="26"/>
  <c r="R44" i="12" s="1"/>
  <c r="C40" i="26"/>
  <c r="R44" i="10" s="1"/>
  <c r="G39" i="26"/>
  <c r="R43" i="14" s="1"/>
  <c r="F39" i="26"/>
  <c r="R43" i="13" s="1"/>
  <c r="E39" i="26"/>
  <c r="R43" i="11" s="1"/>
  <c r="D39" i="26"/>
  <c r="R43" i="12" s="1"/>
  <c r="C39" i="26"/>
  <c r="R43" i="10" s="1"/>
  <c r="G38" i="26"/>
  <c r="R42" i="14" s="1"/>
  <c r="F38" i="26"/>
  <c r="R42" i="13" s="1"/>
  <c r="E38" i="26"/>
  <c r="R42" i="11" s="1"/>
  <c r="D38" i="26"/>
  <c r="R42" i="12" s="1"/>
  <c r="C38" i="26"/>
  <c r="R42" i="10" s="1"/>
  <c r="G37" i="26"/>
  <c r="R41" i="14" s="1"/>
  <c r="F37" i="26"/>
  <c r="R41" i="13" s="1"/>
  <c r="E37" i="26"/>
  <c r="R41" i="11" s="1"/>
  <c r="D37" i="26"/>
  <c r="R41" i="12" s="1"/>
  <c r="C37" i="26"/>
  <c r="R41" i="10" s="1"/>
  <c r="G36" i="26"/>
  <c r="R40" i="14" s="1"/>
  <c r="F36" i="26"/>
  <c r="R40" i="13" s="1"/>
  <c r="E36" i="26"/>
  <c r="R40" i="11" s="1"/>
  <c r="D36" i="26"/>
  <c r="R40" i="12" s="1"/>
  <c r="C36" i="26"/>
  <c r="R40" i="10" s="1"/>
  <c r="G35" i="26"/>
  <c r="R39" i="14" s="1"/>
  <c r="F35" i="26"/>
  <c r="R39" i="13" s="1"/>
  <c r="E35" i="26"/>
  <c r="R39" i="11" s="1"/>
  <c r="D35" i="26"/>
  <c r="R39" i="12" s="1"/>
  <c r="C35" i="26"/>
  <c r="R39" i="10" s="1"/>
  <c r="G34" i="26"/>
  <c r="R38" i="14" s="1"/>
  <c r="F34" i="26"/>
  <c r="R38" i="13" s="1"/>
  <c r="E34" i="26"/>
  <c r="R38" i="11" s="1"/>
  <c r="D34" i="26"/>
  <c r="R38" i="12" s="1"/>
  <c r="C34" i="26"/>
  <c r="R38" i="10" s="1"/>
  <c r="G33" i="26"/>
  <c r="R37" i="14" s="1"/>
  <c r="F33" i="26"/>
  <c r="R37" i="13" s="1"/>
  <c r="E33" i="26"/>
  <c r="R37" i="11" s="1"/>
  <c r="D33" i="26"/>
  <c r="R37" i="12" s="1"/>
  <c r="C33" i="26"/>
  <c r="R37" i="10" s="1"/>
  <c r="G32" i="26"/>
  <c r="R36" i="14" s="1"/>
  <c r="F32" i="26"/>
  <c r="R36" i="13" s="1"/>
  <c r="E32" i="26"/>
  <c r="R36" i="11" s="1"/>
  <c r="D32" i="26"/>
  <c r="R36" i="12" s="1"/>
  <c r="C32" i="26"/>
  <c r="R36" i="10" s="1"/>
  <c r="G31" i="26"/>
  <c r="R35" i="14" s="1"/>
  <c r="F31" i="26"/>
  <c r="R35" i="13" s="1"/>
  <c r="E31" i="26"/>
  <c r="R35" i="11" s="1"/>
  <c r="D31" i="26"/>
  <c r="R35" i="12" s="1"/>
  <c r="C31" i="26"/>
  <c r="R35" i="10" s="1"/>
  <c r="G30" i="26"/>
  <c r="R34" i="14" s="1"/>
  <c r="F30" i="26"/>
  <c r="R34" i="13" s="1"/>
  <c r="E30" i="26"/>
  <c r="R34" i="11" s="1"/>
  <c r="D30" i="26"/>
  <c r="R34" i="12" s="1"/>
  <c r="C30" i="26"/>
  <c r="R34" i="10" s="1"/>
  <c r="G29" i="26"/>
  <c r="R33" i="14" s="1"/>
  <c r="F29" i="26"/>
  <c r="R33" i="13" s="1"/>
  <c r="E29" i="26"/>
  <c r="R33" i="11" s="1"/>
  <c r="D29" i="26"/>
  <c r="R33" i="12" s="1"/>
  <c r="C29" i="26"/>
  <c r="R33" i="10" s="1"/>
  <c r="G28" i="26"/>
  <c r="R32" i="14" s="1"/>
  <c r="F28" i="26"/>
  <c r="R32" i="13" s="1"/>
  <c r="E28" i="26"/>
  <c r="R32" i="11" s="1"/>
  <c r="D28" i="26"/>
  <c r="R32" i="12" s="1"/>
  <c r="C28" i="26"/>
  <c r="R32" i="10" s="1"/>
  <c r="G27" i="26"/>
  <c r="R31" i="14" s="1"/>
  <c r="F27" i="26"/>
  <c r="R31" i="13" s="1"/>
  <c r="E27" i="26"/>
  <c r="R31" i="11" s="1"/>
  <c r="D27" i="26"/>
  <c r="R31" i="12" s="1"/>
  <c r="C27" i="26"/>
  <c r="R31" i="10" s="1"/>
  <c r="G26" i="26"/>
  <c r="R30" i="14" s="1"/>
  <c r="F26" i="26"/>
  <c r="R30" i="13" s="1"/>
  <c r="E26" i="26"/>
  <c r="R30" i="11" s="1"/>
  <c r="D26" i="26"/>
  <c r="R30" i="12" s="1"/>
  <c r="C26" i="26"/>
  <c r="R30" i="10" s="1"/>
  <c r="G25" i="26"/>
  <c r="R29" i="14" s="1"/>
  <c r="F25" i="26"/>
  <c r="R29" i="13" s="1"/>
  <c r="E25" i="26"/>
  <c r="R29" i="11" s="1"/>
  <c r="D25" i="26"/>
  <c r="R29" i="12" s="1"/>
  <c r="C25" i="26"/>
  <c r="R29" i="10" s="1"/>
  <c r="G24" i="26"/>
  <c r="R28" i="14" s="1"/>
  <c r="F24" i="26"/>
  <c r="R28" i="13" s="1"/>
  <c r="E24" i="26"/>
  <c r="R28" i="11" s="1"/>
  <c r="D24" i="26"/>
  <c r="R28" i="12" s="1"/>
  <c r="C24" i="26"/>
  <c r="R28" i="10" s="1"/>
  <c r="G23" i="26"/>
  <c r="R27" i="14" s="1"/>
  <c r="F23" i="26"/>
  <c r="R27" i="13" s="1"/>
  <c r="E23" i="26"/>
  <c r="R27" i="11" s="1"/>
  <c r="D23" i="26"/>
  <c r="R27" i="12" s="1"/>
  <c r="C23" i="26"/>
  <c r="R27" i="10" s="1"/>
  <c r="G22" i="26"/>
  <c r="R26" i="14" s="1"/>
  <c r="F22" i="26"/>
  <c r="R26" i="13" s="1"/>
  <c r="E22" i="26"/>
  <c r="R26" i="11" s="1"/>
  <c r="D22" i="26"/>
  <c r="R26" i="12" s="1"/>
  <c r="C22" i="26"/>
  <c r="R26" i="10" s="1"/>
  <c r="G21" i="26"/>
  <c r="R25" i="14" s="1"/>
  <c r="F21" i="26"/>
  <c r="R25" i="13" s="1"/>
  <c r="E21" i="26"/>
  <c r="R25" i="11" s="1"/>
  <c r="D21" i="26"/>
  <c r="R25" i="12" s="1"/>
  <c r="C21" i="26"/>
  <c r="R25" i="10" s="1"/>
  <c r="G20" i="26"/>
  <c r="R24" i="14" s="1"/>
  <c r="F20" i="26"/>
  <c r="R24" i="13" s="1"/>
  <c r="E20" i="26"/>
  <c r="R24" i="11" s="1"/>
  <c r="D20" i="26"/>
  <c r="R24" i="12" s="1"/>
  <c r="C20" i="26"/>
  <c r="R24" i="10" s="1"/>
  <c r="G19" i="26"/>
  <c r="R23" i="14" s="1"/>
  <c r="F19" i="26"/>
  <c r="R23" i="13" s="1"/>
  <c r="E19" i="26"/>
  <c r="R23" i="11" s="1"/>
  <c r="D19" i="26"/>
  <c r="R23" i="12" s="1"/>
  <c r="C19" i="26"/>
  <c r="R23" i="10" s="1"/>
  <c r="G18" i="26"/>
  <c r="F18" i="26"/>
  <c r="R22" i="13" s="1"/>
  <c r="E18" i="26"/>
  <c r="R22" i="11" s="1"/>
  <c r="D18" i="26"/>
  <c r="R22" i="12" s="1"/>
  <c r="C18" i="26"/>
  <c r="R22" i="10" s="1"/>
  <c r="G17" i="26"/>
  <c r="R21" i="14" s="1"/>
  <c r="F17" i="26"/>
  <c r="R21" i="13" s="1"/>
  <c r="E17" i="26"/>
  <c r="R21" i="11" s="1"/>
  <c r="D17" i="26"/>
  <c r="C17" i="26"/>
  <c r="R21" i="10" s="1"/>
  <c r="G16" i="26"/>
  <c r="R20" i="14" s="1"/>
  <c r="F16" i="26"/>
  <c r="R20" i="13" s="1"/>
  <c r="E16" i="26"/>
  <c r="R20" i="11" s="1"/>
  <c r="D16" i="26"/>
  <c r="R20" i="12" s="1"/>
  <c r="C16" i="26"/>
  <c r="R20" i="10" s="1"/>
  <c r="G15" i="26"/>
  <c r="R19" i="14" s="1"/>
  <c r="F15" i="26"/>
  <c r="R19" i="13" s="1"/>
  <c r="E15" i="26"/>
  <c r="R19" i="11" s="1"/>
  <c r="D15" i="26"/>
  <c r="R19" i="12" s="1"/>
  <c r="C15" i="26"/>
  <c r="R19" i="10" s="1"/>
  <c r="G14" i="26"/>
  <c r="R18" i="14" s="1"/>
  <c r="F14" i="26"/>
  <c r="R18" i="13" s="1"/>
  <c r="E14" i="26"/>
  <c r="R18" i="11" s="1"/>
  <c r="D14" i="26"/>
  <c r="R18" i="12" s="1"/>
  <c r="C14" i="26"/>
  <c r="R18" i="10" s="1"/>
  <c r="G13" i="26"/>
  <c r="R17" i="14" s="1"/>
  <c r="F13" i="26"/>
  <c r="R17" i="13" s="1"/>
  <c r="E13" i="26"/>
  <c r="R17" i="11" s="1"/>
  <c r="D13" i="26"/>
  <c r="R17" i="12" s="1"/>
  <c r="C13" i="26"/>
  <c r="R17" i="10" s="1"/>
  <c r="G12" i="26"/>
  <c r="R16" i="14" s="1"/>
  <c r="F12" i="26"/>
  <c r="R16" i="13" s="1"/>
  <c r="E12" i="26"/>
  <c r="R16" i="11" s="1"/>
  <c r="D12" i="26"/>
  <c r="R16" i="12" s="1"/>
  <c r="C12" i="26"/>
  <c r="R16" i="10" s="1"/>
  <c r="G11" i="26"/>
  <c r="R15" i="14" s="1"/>
  <c r="F11" i="26"/>
  <c r="R15" i="13" s="1"/>
  <c r="E11" i="26"/>
  <c r="R15" i="11" s="1"/>
  <c r="D11" i="26"/>
  <c r="R15" i="12" s="1"/>
  <c r="C11" i="26"/>
  <c r="R15" i="10" s="1"/>
  <c r="G10" i="26"/>
  <c r="F10" i="26"/>
  <c r="R14" i="13" s="1"/>
  <c r="E10" i="26"/>
  <c r="R14" i="11" s="1"/>
  <c r="D10" i="26"/>
  <c r="R14" i="12" s="1"/>
  <c r="C10" i="26"/>
  <c r="R14" i="10" s="1"/>
  <c r="G62" i="28"/>
  <c r="S66" i="14" s="1"/>
  <c r="F62" i="28"/>
  <c r="S66" i="13" s="1"/>
  <c r="E62" i="28"/>
  <c r="S66" i="11" s="1"/>
  <c r="D62" i="28"/>
  <c r="S66" i="12" s="1"/>
  <c r="C62" i="28"/>
  <c r="S66" i="10" s="1"/>
  <c r="G61" i="28"/>
  <c r="S65" i="14" s="1"/>
  <c r="F61" i="28"/>
  <c r="S65" i="13" s="1"/>
  <c r="E61" i="28"/>
  <c r="S65" i="11" s="1"/>
  <c r="D61" i="28"/>
  <c r="S65" i="12" s="1"/>
  <c r="C61" i="28"/>
  <c r="S65" i="10" s="1"/>
  <c r="G60" i="28"/>
  <c r="S64" i="14" s="1"/>
  <c r="F60" i="28"/>
  <c r="S64" i="13" s="1"/>
  <c r="E60" i="28"/>
  <c r="S64" i="11" s="1"/>
  <c r="D60" i="28"/>
  <c r="S64" i="12" s="1"/>
  <c r="C60" i="28"/>
  <c r="S64" i="10" s="1"/>
  <c r="G59" i="28"/>
  <c r="S63" i="14" s="1"/>
  <c r="F59" i="28"/>
  <c r="S63" i="13" s="1"/>
  <c r="E59" i="28"/>
  <c r="S63" i="11" s="1"/>
  <c r="D59" i="28"/>
  <c r="S63" i="12" s="1"/>
  <c r="C59" i="28"/>
  <c r="S63" i="10" s="1"/>
  <c r="G58" i="28"/>
  <c r="S62" i="14" s="1"/>
  <c r="F58" i="28"/>
  <c r="S62" i="13" s="1"/>
  <c r="E58" i="28"/>
  <c r="S62" i="11" s="1"/>
  <c r="D58" i="28"/>
  <c r="S62" i="12" s="1"/>
  <c r="C58" i="28"/>
  <c r="S62" i="10" s="1"/>
  <c r="G57" i="28"/>
  <c r="S61" i="14" s="1"/>
  <c r="F57" i="28"/>
  <c r="S61" i="13" s="1"/>
  <c r="E57" i="28"/>
  <c r="S61" i="11" s="1"/>
  <c r="D57" i="28"/>
  <c r="S61" i="12" s="1"/>
  <c r="C57" i="28"/>
  <c r="S61" i="10" s="1"/>
  <c r="G56" i="28"/>
  <c r="S60" i="14" s="1"/>
  <c r="F56" i="28"/>
  <c r="S60" i="13" s="1"/>
  <c r="E56" i="28"/>
  <c r="S60" i="11" s="1"/>
  <c r="D56" i="28"/>
  <c r="S60" i="12" s="1"/>
  <c r="C56" i="28"/>
  <c r="S60" i="10" s="1"/>
  <c r="G55" i="28"/>
  <c r="S59" i="14" s="1"/>
  <c r="F55" i="28"/>
  <c r="S59" i="13" s="1"/>
  <c r="E55" i="28"/>
  <c r="S59" i="11" s="1"/>
  <c r="D55" i="28"/>
  <c r="S59" i="12" s="1"/>
  <c r="C55" i="28"/>
  <c r="S59" i="10" s="1"/>
  <c r="G54" i="28"/>
  <c r="S58" i="14" s="1"/>
  <c r="F54" i="28"/>
  <c r="S58" i="13" s="1"/>
  <c r="E54" i="28"/>
  <c r="S58" i="11" s="1"/>
  <c r="D54" i="28"/>
  <c r="C54" i="28"/>
  <c r="S58" i="10" s="1"/>
  <c r="G53" i="28"/>
  <c r="S57" i="14" s="1"/>
  <c r="F53" i="28"/>
  <c r="S57" i="13" s="1"/>
  <c r="E53" i="28"/>
  <c r="S57" i="11" s="1"/>
  <c r="D53" i="28"/>
  <c r="S57" i="12" s="1"/>
  <c r="C53" i="28"/>
  <c r="S57" i="10" s="1"/>
  <c r="G52" i="28"/>
  <c r="S56" i="14" s="1"/>
  <c r="F52" i="28"/>
  <c r="S56" i="13" s="1"/>
  <c r="E52" i="28"/>
  <c r="S56" i="11" s="1"/>
  <c r="D52" i="28"/>
  <c r="S56" i="12" s="1"/>
  <c r="C52" i="28"/>
  <c r="S56" i="10" s="1"/>
  <c r="G51" i="28"/>
  <c r="S55" i="14" s="1"/>
  <c r="F51" i="28"/>
  <c r="S55" i="13" s="1"/>
  <c r="E51" i="28"/>
  <c r="S55" i="11" s="1"/>
  <c r="D51" i="28"/>
  <c r="S55" i="12" s="1"/>
  <c r="C51" i="28"/>
  <c r="S55" i="10" s="1"/>
  <c r="G50" i="28"/>
  <c r="S54" i="14" s="1"/>
  <c r="F50" i="28"/>
  <c r="S54" i="13" s="1"/>
  <c r="E50" i="28"/>
  <c r="S54" i="11" s="1"/>
  <c r="D50" i="28"/>
  <c r="S54" i="12" s="1"/>
  <c r="C50" i="28"/>
  <c r="S54" i="10" s="1"/>
  <c r="G49" i="28"/>
  <c r="S53" i="14" s="1"/>
  <c r="F49" i="28"/>
  <c r="S53" i="13" s="1"/>
  <c r="E49" i="28"/>
  <c r="S53" i="11" s="1"/>
  <c r="D49" i="28"/>
  <c r="S53" i="12" s="1"/>
  <c r="C49" i="28"/>
  <c r="S53" i="10" s="1"/>
  <c r="G48" i="28"/>
  <c r="S52" i="14" s="1"/>
  <c r="F48" i="28"/>
  <c r="S52" i="13" s="1"/>
  <c r="E48" i="28"/>
  <c r="S52" i="11" s="1"/>
  <c r="D48" i="28"/>
  <c r="S52" i="12" s="1"/>
  <c r="C48" i="28"/>
  <c r="S52" i="10" s="1"/>
  <c r="G47" i="28"/>
  <c r="S51" i="14" s="1"/>
  <c r="F47" i="28"/>
  <c r="S51" i="13" s="1"/>
  <c r="E47" i="28"/>
  <c r="S51" i="11" s="1"/>
  <c r="D47" i="28"/>
  <c r="S51" i="12" s="1"/>
  <c r="C47" i="28"/>
  <c r="S51" i="10" s="1"/>
  <c r="G46" i="28"/>
  <c r="S50" i="14" s="1"/>
  <c r="F46" i="28"/>
  <c r="S50" i="13" s="1"/>
  <c r="E46" i="28"/>
  <c r="S50" i="11" s="1"/>
  <c r="D46" i="28"/>
  <c r="S50" i="12" s="1"/>
  <c r="C46" i="28"/>
  <c r="S50" i="10" s="1"/>
  <c r="G45" i="28"/>
  <c r="S49" i="14" s="1"/>
  <c r="F45" i="28"/>
  <c r="S49" i="13" s="1"/>
  <c r="E45" i="28"/>
  <c r="S49" i="11" s="1"/>
  <c r="D45" i="28"/>
  <c r="S49" i="12" s="1"/>
  <c r="C45" i="28"/>
  <c r="S49" i="10" s="1"/>
  <c r="G44" i="28"/>
  <c r="S48" i="14" s="1"/>
  <c r="F44" i="28"/>
  <c r="S48" i="13" s="1"/>
  <c r="E44" i="28"/>
  <c r="S48" i="11" s="1"/>
  <c r="D44" i="28"/>
  <c r="S48" i="12" s="1"/>
  <c r="C44" i="28"/>
  <c r="S48" i="10" s="1"/>
  <c r="G43" i="28"/>
  <c r="S47" i="14" s="1"/>
  <c r="F43" i="28"/>
  <c r="S47" i="13" s="1"/>
  <c r="E43" i="28"/>
  <c r="S47" i="11" s="1"/>
  <c r="D43" i="28"/>
  <c r="S47" i="12" s="1"/>
  <c r="C43" i="28"/>
  <c r="G42" i="28"/>
  <c r="S46" i="14" s="1"/>
  <c r="F42" i="28"/>
  <c r="S46" i="13" s="1"/>
  <c r="E42" i="28"/>
  <c r="S46" i="11" s="1"/>
  <c r="D42" i="28"/>
  <c r="S46" i="12" s="1"/>
  <c r="C42" i="28"/>
  <c r="S46" i="10" s="1"/>
  <c r="G41" i="28"/>
  <c r="S45" i="14" s="1"/>
  <c r="F41" i="28"/>
  <c r="S45" i="13" s="1"/>
  <c r="E41" i="28"/>
  <c r="S45" i="11" s="1"/>
  <c r="D41" i="28"/>
  <c r="S45" i="12" s="1"/>
  <c r="C41" i="28"/>
  <c r="S45" i="10" s="1"/>
  <c r="G40" i="28"/>
  <c r="S44" i="14" s="1"/>
  <c r="F40" i="28"/>
  <c r="S44" i="13" s="1"/>
  <c r="E40" i="28"/>
  <c r="S44" i="11" s="1"/>
  <c r="D40" i="28"/>
  <c r="S44" i="12" s="1"/>
  <c r="C40" i="28"/>
  <c r="S44" i="10" s="1"/>
  <c r="G39" i="28"/>
  <c r="S43" i="14" s="1"/>
  <c r="F39" i="28"/>
  <c r="S43" i="13" s="1"/>
  <c r="E39" i="28"/>
  <c r="S43" i="11" s="1"/>
  <c r="D39" i="28"/>
  <c r="S43" i="12" s="1"/>
  <c r="C39" i="28"/>
  <c r="S43" i="10" s="1"/>
  <c r="G38" i="28"/>
  <c r="S42" i="14" s="1"/>
  <c r="F38" i="28"/>
  <c r="S42" i="13" s="1"/>
  <c r="E38" i="28"/>
  <c r="S42" i="11" s="1"/>
  <c r="D38" i="28"/>
  <c r="S42" i="12" s="1"/>
  <c r="C38" i="28"/>
  <c r="S42" i="10" s="1"/>
  <c r="G37" i="28"/>
  <c r="S41" i="14" s="1"/>
  <c r="F37" i="28"/>
  <c r="S41" i="13" s="1"/>
  <c r="E37" i="28"/>
  <c r="S41" i="11" s="1"/>
  <c r="D37" i="28"/>
  <c r="S41" i="12" s="1"/>
  <c r="C37" i="28"/>
  <c r="S41" i="10" s="1"/>
  <c r="G36" i="28"/>
  <c r="S40" i="14" s="1"/>
  <c r="F36" i="28"/>
  <c r="S40" i="13" s="1"/>
  <c r="E36" i="28"/>
  <c r="S40" i="11" s="1"/>
  <c r="D36" i="28"/>
  <c r="S40" i="12" s="1"/>
  <c r="C36" i="28"/>
  <c r="S40" i="10" s="1"/>
  <c r="G35" i="28"/>
  <c r="S39" i="14" s="1"/>
  <c r="F35" i="28"/>
  <c r="S39" i="13" s="1"/>
  <c r="E35" i="28"/>
  <c r="S39" i="11" s="1"/>
  <c r="D35" i="28"/>
  <c r="S39" i="12" s="1"/>
  <c r="C35" i="28"/>
  <c r="S39" i="10" s="1"/>
  <c r="G34" i="28"/>
  <c r="S38" i="14" s="1"/>
  <c r="F34" i="28"/>
  <c r="S38" i="13" s="1"/>
  <c r="E34" i="28"/>
  <c r="S38" i="11" s="1"/>
  <c r="D34" i="28"/>
  <c r="S38" i="12" s="1"/>
  <c r="C34" i="28"/>
  <c r="S38" i="10" s="1"/>
  <c r="G33" i="28"/>
  <c r="S37" i="14" s="1"/>
  <c r="F33" i="28"/>
  <c r="S37" i="13" s="1"/>
  <c r="E33" i="28"/>
  <c r="S37" i="11" s="1"/>
  <c r="D33" i="28"/>
  <c r="S37" i="12" s="1"/>
  <c r="C33" i="28"/>
  <c r="S37" i="10" s="1"/>
  <c r="G32" i="28"/>
  <c r="S36" i="14" s="1"/>
  <c r="F32" i="28"/>
  <c r="S36" i="13" s="1"/>
  <c r="E32" i="28"/>
  <c r="S36" i="11" s="1"/>
  <c r="D32" i="28"/>
  <c r="S36" i="12" s="1"/>
  <c r="C32" i="28"/>
  <c r="S36" i="10" s="1"/>
  <c r="G31" i="28"/>
  <c r="S35" i="14" s="1"/>
  <c r="F31" i="28"/>
  <c r="S35" i="13" s="1"/>
  <c r="E31" i="28"/>
  <c r="S35" i="11" s="1"/>
  <c r="D31" i="28"/>
  <c r="S35" i="12" s="1"/>
  <c r="C31" i="28"/>
  <c r="S35" i="10" s="1"/>
  <c r="G30" i="28"/>
  <c r="S34" i="14" s="1"/>
  <c r="F30" i="28"/>
  <c r="S34" i="13" s="1"/>
  <c r="E30" i="28"/>
  <c r="S34" i="11" s="1"/>
  <c r="D30" i="28"/>
  <c r="S34" i="12" s="1"/>
  <c r="C30" i="28"/>
  <c r="S34" i="10" s="1"/>
  <c r="G29" i="28"/>
  <c r="S33" i="14" s="1"/>
  <c r="F29" i="28"/>
  <c r="S33" i="13" s="1"/>
  <c r="E29" i="28"/>
  <c r="S33" i="11" s="1"/>
  <c r="D29" i="28"/>
  <c r="S33" i="12" s="1"/>
  <c r="C29" i="28"/>
  <c r="S33" i="10" s="1"/>
  <c r="G28" i="28"/>
  <c r="S32" i="14" s="1"/>
  <c r="F28" i="28"/>
  <c r="S32" i="13" s="1"/>
  <c r="E28" i="28"/>
  <c r="S32" i="11" s="1"/>
  <c r="D28" i="28"/>
  <c r="S32" i="12" s="1"/>
  <c r="C28" i="28"/>
  <c r="S32" i="10" s="1"/>
  <c r="G27" i="28"/>
  <c r="S31" i="14" s="1"/>
  <c r="F27" i="28"/>
  <c r="S31" i="13" s="1"/>
  <c r="E27" i="28"/>
  <c r="S31" i="11" s="1"/>
  <c r="D27" i="28"/>
  <c r="S31" i="12" s="1"/>
  <c r="C27" i="28"/>
  <c r="G26" i="28"/>
  <c r="S30" i="14" s="1"/>
  <c r="F26" i="28"/>
  <c r="S30" i="13" s="1"/>
  <c r="E26" i="28"/>
  <c r="S30" i="11" s="1"/>
  <c r="D26" i="28"/>
  <c r="S30" i="12" s="1"/>
  <c r="C26" i="28"/>
  <c r="S30" i="10" s="1"/>
  <c r="G25" i="28"/>
  <c r="S29" i="14" s="1"/>
  <c r="F25" i="28"/>
  <c r="S29" i="13" s="1"/>
  <c r="E25" i="28"/>
  <c r="S29" i="11" s="1"/>
  <c r="D25" i="28"/>
  <c r="S29" i="12" s="1"/>
  <c r="C25" i="28"/>
  <c r="S29" i="10" s="1"/>
  <c r="G24" i="28"/>
  <c r="S28" i="14" s="1"/>
  <c r="F24" i="28"/>
  <c r="S28" i="13" s="1"/>
  <c r="E24" i="28"/>
  <c r="S28" i="11" s="1"/>
  <c r="D24" i="28"/>
  <c r="S28" i="12" s="1"/>
  <c r="C24" i="28"/>
  <c r="S28" i="10" s="1"/>
  <c r="G23" i="28"/>
  <c r="S27" i="14" s="1"/>
  <c r="F23" i="28"/>
  <c r="S27" i="13" s="1"/>
  <c r="E23" i="28"/>
  <c r="S27" i="11" s="1"/>
  <c r="D23" i="28"/>
  <c r="S27" i="12" s="1"/>
  <c r="C23" i="28"/>
  <c r="S27" i="10" s="1"/>
  <c r="G22" i="28"/>
  <c r="S26" i="14" s="1"/>
  <c r="F22" i="28"/>
  <c r="S26" i="13" s="1"/>
  <c r="E22" i="28"/>
  <c r="S26" i="11" s="1"/>
  <c r="D22" i="28"/>
  <c r="S26" i="12" s="1"/>
  <c r="C22" i="28"/>
  <c r="S26" i="10" s="1"/>
  <c r="G21" i="28"/>
  <c r="S25" i="14" s="1"/>
  <c r="F21" i="28"/>
  <c r="S25" i="13" s="1"/>
  <c r="E21" i="28"/>
  <c r="S25" i="11" s="1"/>
  <c r="D21" i="28"/>
  <c r="S25" i="12" s="1"/>
  <c r="C21" i="28"/>
  <c r="S25" i="10" s="1"/>
  <c r="G20" i="28"/>
  <c r="S24" i="14" s="1"/>
  <c r="F20" i="28"/>
  <c r="S24" i="13" s="1"/>
  <c r="E20" i="28"/>
  <c r="S24" i="11" s="1"/>
  <c r="D20" i="28"/>
  <c r="S24" i="12" s="1"/>
  <c r="C20" i="28"/>
  <c r="S24" i="10" s="1"/>
  <c r="G19" i="28"/>
  <c r="S23" i="14" s="1"/>
  <c r="F19" i="28"/>
  <c r="S23" i="13" s="1"/>
  <c r="E19" i="28"/>
  <c r="S23" i="11" s="1"/>
  <c r="D19" i="28"/>
  <c r="S23" i="12" s="1"/>
  <c r="C19" i="28"/>
  <c r="S23" i="10" s="1"/>
  <c r="G18" i="28"/>
  <c r="S22" i="14" s="1"/>
  <c r="F18" i="28"/>
  <c r="S22" i="13" s="1"/>
  <c r="E18" i="28"/>
  <c r="S22" i="11" s="1"/>
  <c r="D18" i="28"/>
  <c r="S22" i="12" s="1"/>
  <c r="C18" i="28"/>
  <c r="S22" i="10" s="1"/>
  <c r="G17" i="28"/>
  <c r="S21" i="14" s="1"/>
  <c r="F17" i="28"/>
  <c r="S21" i="13" s="1"/>
  <c r="E17" i="28"/>
  <c r="S21" i="11" s="1"/>
  <c r="D17" i="28"/>
  <c r="S21" i="12" s="1"/>
  <c r="C17" i="28"/>
  <c r="S21" i="10" s="1"/>
  <c r="G16" i="28"/>
  <c r="S20" i="14" s="1"/>
  <c r="F16" i="28"/>
  <c r="S20" i="13" s="1"/>
  <c r="E16" i="28"/>
  <c r="S20" i="11" s="1"/>
  <c r="D16" i="28"/>
  <c r="S20" i="12" s="1"/>
  <c r="C16" i="28"/>
  <c r="S20" i="10" s="1"/>
  <c r="G15" i="28"/>
  <c r="S19" i="14" s="1"/>
  <c r="F15" i="28"/>
  <c r="S19" i="13" s="1"/>
  <c r="E15" i="28"/>
  <c r="S19" i="11" s="1"/>
  <c r="D15" i="28"/>
  <c r="S19" i="12" s="1"/>
  <c r="C15" i="28"/>
  <c r="S19" i="10" s="1"/>
  <c r="G14" i="28"/>
  <c r="S18" i="14" s="1"/>
  <c r="F14" i="28"/>
  <c r="S18" i="13" s="1"/>
  <c r="E14" i="28"/>
  <c r="S18" i="11" s="1"/>
  <c r="D14" i="28"/>
  <c r="S18" i="12" s="1"/>
  <c r="C14" i="28"/>
  <c r="S18" i="10" s="1"/>
  <c r="G13" i="28"/>
  <c r="S17" i="14" s="1"/>
  <c r="F13" i="28"/>
  <c r="S17" i="13" s="1"/>
  <c r="E13" i="28"/>
  <c r="S17" i="11" s="1"/>
  <c r="D13" i="28"/>
  <c r="S17" i="12" s="1"/>
  <c r="C13" i="28"/>
  <c r="S17" i="10" s="1"/>
  <c r="G12" i="28"/>
  <c r="S16" i="14" s="1"/>
  <c r="F12" i="28"/>
  <c r="S16" i="13" s="1"/>
  <c r="E12" i="28"/>
  <c r="S16" i="11" s="1"/>
  <c r="D12" i="28"/>
  <c r="S16" i="12" s="1"/>
  <c r="C12" i="28"/>
  <c r="S16" i="10" s="1"/>
  <c r="G11" i="28"/>
  <c r="S15" i="14" s="1"/>
  <c r="F11" i="28"/>
  <c r="S15" i="13" s="1"/>
  <c r="E11" i="28"/>
  <c r="S15" i="11" s="1"/>
  <c r="D11" i="28"/>
  <c r="S15" i="12" s="1"/>
  <c r="C11" i="28"/>
  <c r="S15" i="10" s="1"/>
  <c r="G10" i="28"/>
  <c r="S14" i="14" s="1"/>
  <c r="F10" i="28"/>
  <c r="S14" i="13" s="1"/>
  <c r="E10" i="28"/>
  <c r="S14" i="11" s="1"/>
  <c r="D10" i="28"/>
  <c r="S14" i="12" s="1"/>
  <c r="C10" i="28"/>
  <c r="S14" i="10" s="1"/>
  <c r="G61" i="29"/>
  <c r="T65" i="14" s="1"/>
  <c r="F61" i="29"/>
  <c r="T65" i="13" s="1"/>
  <c r="D61" i="29"/>
  <c r="T65" i="12" s="1"/>
  <c r="G57" i="29"/>
  <c r="T61" i="14" s="1"/>
  <c r="F57" i="29"/>
  <c r="T61" i="13" s="1"/>
  <c r="E57" i="29"/>
  <c r="T61" i="11" s="1"/>
  <c r="D57" i="29"/>
  <c r="T61" i="12" s="1"/>
  <c r="C57" i="29"/>
  <c r="T61" i="10" s="1"/>
  <c r="F56" i="29"/>
  <c r="T60" i="13" s="1"/>
  <c r="G55" i="29"/>
  <c r="T59" i="14" s="1"/>
  <c r="F55" i="29"/>
  <c r="T59" i="13" s="1"/>
  <c r="E55" i="29"/>
  <c r="T59" i="11" s="1"/>
  <c r="D55" i="29"/>
  <c r="T59" i="12" s="1"/>
  <c r="C55" i="29"/>
  <c r="T59" i="10" s="1"/>
  <c r="G54" i="29"/>
  <c r="T58" i="14" s="1"/>
  <c r="F54" i="29"/>
  <c r="T58" i="13" s="1"/>
  <c r="E54" i="29"/>
  <c r="T58" i="11" s="1"/>
  <c r="D54" i="29"/>
  <c r="T58" i="12" s="1"/>
  <c r="C54" i="29"/>
  <c r="T58" i="10" s="1"/>
  <c r="G53" i="29"/>
  <c r="T57" i="14" s="1"/>
  <c r="F53" i="29"/>
  <c r="T57" i="13" s="1"/>
  <c r="E53" i="29"/>
  <c r="T57" i="11" s="1"/>
  <c r="D53" i="29"/>
  <c r="T57" i="12" s="1"/>
  <c r="D52" i="29"/>
  <c r="T56" i="12" s="1"/>
  <c r="G49" i="29"/>
  <c r="T53" i="14" s="1"/>
  <c r="F49" i="29"/>
  <c r="T53" i="13" s="1"/>
  <c r="E49" i="29"/>
  <c r="T53" i="11" s="1"/>
  <c r="D49" i="29"/>
  <c r="T53" i="12" s="1"/>
  <c r="C49" i="29"/>
  <c r="T53" i="10" s="1"/>
  <c r="G47" i="29"/>
  <c r="T51" i="14" s="1"/>
  <c r="F47" i="29"/>
  <c r="T51" i="13" s="1"/>
  <c r="E47" i="29"/>
  <c r="T51" i="11" s="1"/>
  <c r="D47" i="29"/>
  <c r="T51" i="12" s="1"/>
  <c r="C47" i="29"/>
  <c r="T51" i="10" s="1"/>
  <c r="G46" i="29"/>
  <c r="T50" i="14" s="1"/>
  <c r="F46" i="29"/>
  <c r="T50" i="13" s="1"/>
  <c r="E46" i="29"/>
  <c r="T50" i="11" s="1"/>
  <c r="D46" i="29"/>
  <c r="T50" i="12" s="1"/>
  <c r="C46" i="29"/>
  <c r="T50" i="10" s="1"/>
  <c r="F45" i="29"/>
  <c r="T49" i="13" s="1"/>
  <c r="E45" i="29"/>
  <c r="T49" i="11" s="1"/>
  <c r="D45" i="29"/>
  <c r="T49" i="12" s="1"/>
  <c r="C45" i="29"/>
  <c r="T49" i="10" s="1"/>
  <c r="G41" i="29"/>
  <c r="T45" i="14" s="1"/>
  <c r="F41" i="29"/>
  <c r="T45" i="13" s="1"/>
  <c r="E41" i="29"/>
  <c r="T45" i="11" s="1"/>
  <c r="D41" i="29"/>
  <c r="T45" i="12" s="1"/>
  <c r="C41" i="29"/>
  <c r="T45" i="10" s="1"/>
  <c r="G39" i="29"/>
  <c r="T43" i="14" s="1"/>
  <c r="F39" i="29"/>
  <c r="T43" i="13" s="1"/>
  <c r="E39" i="29"/>
  <c r="T43" i="11" s="1"/>
  <c r="D39" i="29"/>
  <c r="T43" i="12" s="1"/>
  <c r="C39" i="29"/>
  <c r="T43" i="10" s="1"/>
  <c r="G38" i="29"/>
  <c r="T42" i="14" s="1"/>
  <c r="F38" i="29"/>
  <c r="T42" i="13" s="1"/>
  <c r="E38" i="29"/>
  <c r="T42" i="11" s="1"/>
  <c r="D38" i="29"/>
  <c r="T42" i="12" s="1"/>
  <c r="C38" i="29"/>
  <c r="T42" i="10" s="1"/>
  <c r="F37" i="29"/>
  <c r="T41" i="13" s="1"/>
  <c r="C37" i="29"/>
  <c r="T41" i="10" s="1"/>
  <c r="G33" i="29"/>
  <c r="T37" i="14" s="1"/>
  <c r="F33" i="29"/>
  <c r="T37" i="13" s="1"/>
  <c r="E33" i="29"/>
  <c r="T37" i="11" s="1"/>
  <c r="D33" i="29"/>
  <c r="T37" i="12" s="1"/>
  <c r="C33" i="29"/>
  <c r="T37" i="10" s="1"/>
  <c r="G31" i="29"/>
  <c r="T35" i="14" s="1"/>
  <c r="F31" i="29"/>
  <c r="T35" i="13" s="1"/>
  <c r="E31" i="29"/>
  <c r="T35" i="11" s="1"/>
  <c r="D31" i="29"/>
  <c r="T35" i="12" s="1"/>
  <c r="C31" i="29"/>
  <c r="T35" i="10" s="1"/>
  <c r="G30" i="29"/>
  <c r="T34" i="14" s="1"/>
  <c r="F30" i="29"/>
  <c r="T34" i="13" s="1"/>
  <c r="E30" i="29"/>
  <c r="T34" i="11" s="1"/>
  <c r="D30" i="29"/>
  <c r="T34" i="12" s="1"/>
  <c r="C30" i="29"/>
  <c r="T34" i="10" s="1"/>
  <c r="G25" i="29"/>
  <c r="T29" i="14" s="1"/>
  <c r="F25" i="29"/>
  <c r="T29" i="13" s="1"/>
  <c r="E25" i="29"/>
  <c r="T29" i="11" s="1"/>
  <c r="D25" i="29"/>
  <c r="T29" i="12" s="1"/>
  <c r="C25" i="29"/>
  <c r="T29" i="10" s="1"/>
  <c r="E24" i="29"/>
  <c r="T28" i="11" s="1"/>
  <c r="G23" i="29"/>
  <c r="T27" i="14" s="1"/>
  <c r="F23" i="29"/>
  <c r="T27" i="13" s="1"/>
  <c r="E23" i="29"/>
  <c r="T27" i="11" s="1"/>
  <c r="D23" i="29"/>
  <c r="T27" i="12" s="1"/>
  <c r="C23" i="29"/>
  <c r="T27" i="10" s="1"/>
  <c r="G22" i="29"/>
  <c r="T26" i="14" s="1"/>
  <c r="F22" i="29"/>
  <c r="T26" i="13" s="1"/>
  <c r="E22" i="29"/>
  <c r="T26" i="11" s="1"/>
  <c r="D22" i="29"/>
  <c r="T26" i="12" s="1"/>
  <c r="C22" i="29"/>
  <c r="T26" i="10" s="1"/>
  <c r="G21" i="29"/>
  <c r="T25" i="14" s="1"/>
  <c r="E21" i="29"/>
  <c r="T25" i="11" s="1"/>
  <c r="G17" i="29"/>
  <c r="T21" i="14" s="1"/>
  <c r="F17" i="29"/>
  <c r="T21" i="13" s="1"/>
  <c r="E17" i="29"/>
  <c r="T21" i="11" s="1"/>
  <c r="D17" i="29"/>
  <c r="T21" i="12" s="1"/>
  <c r="C17" i="29"/>
  <c r="T21" i="10" s="1"/>
  <c r="G15" i="29"/>
  <c r="T19" i="14" s="1"/>
  <c r="F15" i="29"/>
  <c r="T19" i="13" s="1"/>
  <c r="E15" i="29"/>
  <c r="T19" i="11" s="1"/>
  <c r="D15" i="29"/>
  <c r="T19" i="12" s="1"/>
  <c r="C15" i="29"/>
  <c r="T19" i="10" s="1"/>
  <c r="G14" i="29"/>
  <c r="T18" i="14" s="1"/>
  <c r="F14" i="29"/>
  <c r="T18" i="13" s="1"/>
  <c r="E14" i="29"/>
  <c r="T18" i="11" s="1"/>
  <c r="D14" i="29"/>
  <c r="T18" i="12" s="1"/>
  <c r="C14" i="29"/>
  <c r="T18" i="10" s="1"/>
  <c r="G13" i="29"/>
  <c r="T17" i="14" s="1"/>
  <c r="F13" i="29"/>
  <c r="T17" i="13" s="1"/>
  <c r="E13" i="29"/>
  <c r="T17" i="11" s="1"/>
  <c r="C13" i="29"/>
  <c r="T17" i="10" s="1"/>
  <c r="O66" i="14"/>
  <c r="E66" i="14"/>
  <c r="H65" i="14"/>
  <c r="K64" i="14"/>
  <c r="E64" i="14"/>
  <c r="C64" i="14"/>
  <c r="I62" i="14"/>
  <c r="E61" i="14"/>
  <c r="D61" i="14"/>
  <c r="K59" i="14"/>
  <c r="J59" i="14"/>
  <c r="C59" i="14"/>
  <c r="E58" i="14"/>
  <c r="I57" i="14"/>
  <c r="D56" i="14"/>
  <c r="C56" i="14"/>
  <c r="J54" i="14"/>
  <c r="H52" i="14"/>
  <c r="G52" i="14"/>
  <c r="C51" i="14"/>
  <c r="E50" i="14"/>
  <c r="I49" i="14"/>
  <c r="H49" i="14"/>
  <c r="L48" i="14"/>
  <c r="G47" i="14"/>
  <c r="R46" i="14"/>
  <c r="M45" i="14"/>
  <c r="E45" i="14"/>
  <c r="J43" i="14"/>
  <c r="F42" i="14"/>
  <c r="E42" i="14"/>
  <c r="L40" i="14"/>
  <c r="C40" i="14"/>
  <c r="G39" i="14"/>
  <c r="F39" i="14"/>
  <c r="M37" i="14"/>
  <c r="D37" i="14"/>
  <c r="G36" i="14"/>
  <c r="N34" i="14"/>
  <c r="F34" i="14"/>
  <c r="L32" i="14"/>
  <c r="G31" i="14"/>
  <c r="F31" i="14"/>
  <c r="M29" i="14"/>
  <c r="E29" i="14"/>
  <c r="P28" i="14"/>
  <c r="K27" i="14"/>
  <c r="C27" i="14"/>
  <c r="E26" i="14"/>
  <c r="H25" i="14"/>
  <c r="D24" i="14"/>
  <c r="F23" i="14"/>
  <c r="R22" i="14"/>
  <c r="J22" i="14"/>
  <c r="E21" i="14"/>
  <c r="D21" i="14"/>
  <c r="H20" i="14"/>
  <c r="K19" i="14"/>
  <c r="J19" i="14"/>
  <c r="F18" i="14"/>
  <c r="E18" i="14"/>
  <c r="Q17" i="14"/>
  <c r="I17" i="14"/>
  <c r="L16" i="14"/>
  <c r="D16" i="14"/>
  <c r="F15" i="14"/>
  <c r="R14" i="14"/>
  <c r="I14" i="14"/>
  <c r="G14" i="14"/>
  <c r="E66" i="13"/>
  <c r="D66" i="13"/>
  <c r="J64" i="13"/>
  <c r="N63" i="13"/>
  <c r="F63" i="13"/>
  <c r="H62" i="13"/>
  <c r="G60" i="13"/>
  <c r="F60" i="13"/>
  <c r="E58" i="13"/>
  <c r="D58" i="13"/>
  <c r="J56" i="13"/>
  <c r="F55" i="13"/>
  <c r="E55" i="13"/>
  <c r="I54" i="13"/>
  <c r="D53" i="13"/>
  <c r="C53" i="13"/>
  <c r="J51" i="13"/>
  <c r="M50" i="13"/>
  <c r="P49" i="13"/>
  <c r="H49" i="13"/>
  <c r="J48" i="13"/>
  <c r="C48" i="13"/>
  <c r="I46" i="13"/>
  <c r="H46" i="13"/>
  <c r="L45" i="13"/>
  <c r="C45" i="13"/>
  <c r="O44" i="13"/>
  <c r="F44" i="13"/>
  <c r="J43" i="13"/>
  <c r="I43" i="13"/>
  <c r="M42" i="13"/>
  <c r="I41" i="13"/>
  <c r="G41" i="13"/>
  <c r="K40" i="13"/>
  <c r="J40" i="13"/>
  <c r="C40" i="13"/>
  <c r="Q38" i="13"/>
  <c r="I38" i="13"/>
  <c r="D37" i="13"/>
  <c r="C37" i="13"/>
  <c r="J35" i="13"/>
  <c r="I35" i="13"/>
  <c r="M34" i="13"/>
  <c r="H33" i="13"/>
  <c r="D32" i="13"/>
  <c r="C32" i="13"/>
  <c r="N31" i="13"/>
  <c r="F31" i="13"/>
  <c r="H30" i="13"/>
  <c r="C29" i="13"/>
  <c r="F28" i="13"/>
  <c r="M26" i="13"/>
  <c r="F26" i="13"/>
  <c r="H25" i="13"/>
  <c r="J24" i="13"/>
  <c r="D24" i="13"/>
  <c r="C24" i="13"/>
  <c r="I22" i="13"/>
  <c r="H22" i="13"/>
  <c r="D21" i="13"/>
  <c r="C21" i="13"/>
  <c r="O20" i="13"/>
  <c r="J19" i="13"/>
  <c r="D18" i="13"/>
  <c r="G17" i="13"/>
  <c r="J16" i="13"/>
  <c r="C16" i="13"/>
  <c r="N15" i="13"/>
  <c r="F15" i="13"/>
  <c r="I14" i="13"/>
  <c r="H14" i="13"/>
  <c r="C66" i="11"/>
  <c r="F65" i="11"/>
  <c r="J64" i="11"/>
  <c r="I64" i="11"/>
  <c r="C64" i="11"/>
  <c r="D63" i="11"/>
  <c r="G62" i="11"/>
  <c r="J61" i="11"/>
  <c r="D61" i="11"/>
  <c r="E60" i="11"/>
  <c r="I59" i="11"/>
  <c r="L58" i="11"/>
  <c r="D58" i="11"/>
  <c r="I56" i="11"/>
  <c r="E55" i="11"/>
  <c r="D55" i="11"/>
  <c r="K53" i="11"/>
  <c r="F52" i="11"/>
  <c r="E52" i="11"/>
  <c r="I51" i="11"/>
  <c r="L50" i="11"/>
  <c r="D50" i="11"/>
  <c r="G49" i="11"/>
  <c r="F49" i="11"/>
  <c r="K48" i="11"/>
  <c r="E47" i="11"/>
  <c r="D47" i="11"/>
  <c r="L45" i="11"/>
  <c r="K45" i="11"/>
  <c r="E44" i="11"/>
  <c r="H43" i="11"/>
  <c r="H41" i="11"/>
  <c r="G41" i="11"/>
  <c r="I40" i="11"/>
  <c r="M39" i="11"/>
  <c r="E39" i="11"/>
  <c r="H38" i="11"/>
  <c r="G38" i="11"/>
  <c r="D37" i="11"/>
  <c r="C37" i="11"/>
  <c r="N36" i="11"/>
  <c r="F36" i="11"/>
  <c r="I35" i="11"/>
  <c r="H35" i="11"/>
  <c r="C34" i="11"/>
  <c r="G33" i="11"/>
  <c r="J32" i="11"/>
  <c r="I32" i="11"/>
  <c r="M31" i="11"/>
  <c r="E31" i="11"/>
  <c r="H30" i="11"/>
  <c r="G30" i="11"/>
  <c r="L29" i="11"/>
  <c r="C29" i="11"/>
  <c r="N28" i="11"/>
  <c r="E28" i="11"/>
  <c r="H27" i="11"/>
  <c r="L26" i="11"/>
  <c r="D26" i="11"/>
  <c r="G25" i="11"/>
  <c r="J24" i="11"/>
  <c r="D23" i="11"/>
  <c r="G22" i="11"/>
  <c r="D21" i="11"/>
  <c r="C21" i="11"/>
  <c r="N20" i="11"/>
  <c r="F20" i="11"/>
  <c r="E20" i="11"/>
  <c r="I19" i="11"/>
  <c r="H19" i="11"/>
  <c r="M18" i="11"/>
  <c r="L18" i="11"/>
  <c r="D18" i="11"/>
  <c r="C18" i="11"/>
  <c r="G17" i="11"/>
  <c r="F17" i="11"/>
  <c r="J16" i="11"/>
  <c r="I16" i="11"/>
  <c r="M15" i="11"/>
  <c r="E15" i="11"/>
  <c r="D15" i="11"/>
  <c r="I14" i="11"/>
  <c r="H14" i="11"/>
  <c r="G14" i="11"/>
  <c r="J66" i="12"/>
  <c r="D66" i="12"/>
  <c r="C66" i="12"/>
  <c r="N65" i="12"/>
  <c r="F65" i="12"/>
  <c r="E65" i="12"/>
  <c r="R64" i="12"/>
  <c r="J64" i="12"/>
  <c r="H64" i="12"/>
  <c r="L63" i="12"/>
  <c r="D63" i="12"/>
  <c r="C63" i="12"/>
  <c r="G62" i="12"/>
  <c r="F62" i="12"/>
  <c r="J61" i="12"/>
  <c r="I61" i="12"/>
  <c r="F60" i="12"/>
  <c r="E60" i="12"/>
  <c r="D60" i="12"/>
  <c r="I59" i="12"/>
  <c r="G59" i="12"/>
  <c r="S58" i="12"/>
  <c r="K58" i="12"/>
  <c r="J58" i="12"/>
  <c r="D58" i="12"/>
  <c r="C58" i="12"/>
  <c r="G57" i="12"/>
  <c r="F57" i="12"/>
  <c r="E57" i="12"/>
  <c r="Q56" i="12"/>
  <c r="J56" i="12"/>
  <c r="I56" i="12"/>
  <c r="H56" i="12"/>
  <c r="L55" i="12"/>
  <c r="D55" i="12"/>
  <c r="C55" i="12"/>
  <c r="H54" i="12"/>
  <c r="G54" i="12"/>
  <c r="F54" i="12"/>
  <c r="R53" i="12"/>
  <c r="J53" i="12"/>
  <c r="I53" i="12"/>
  <c r="M52" i="12"/>
  <c r="E52" i="12"/>
  <c r="D52" i="12"/>
  <c r="P51" i="12"/>
  <c r="H51" i="12"/>
  <c r="G51" i="12"/>
  <c r="K50" i="12"/>
  <c r="J50" i="12"/>
  <c r="C50" i="12"/>
  <c r="G49" i="12"/>
  <c r="F49" i="12"/>
  <c r="E49" i="12"/>
  <c r="Q48" i="12"/>
  <c r="J48" i="12"/>
  <c r="I48" i="12"/>
  <c r="H48" i="12"/>
  <c r="M47" i="12"/>
  <c r="L47" i="12"/>
  <c r="D47" i="12"/>
  <c r="C47" i="12"/>
  <c r="O46" i="12"/>
  <c r="H46" i="12"/>
  <c r="G46" i="12"/>
  <c r="F46" i="12"/>
  <c r="J45" i="12"/>
  <c r="C45" i="12"/>
  <c r="M44" i="12"/>
  <c r="E44" i="12"/>
  <c r="D44" i="12"/>
  <c r="H43" i="12"/>
  <c r="G43" i="12"/>
  <c r="K42" i="12"/>
  <c r="J42" i="12"/>
  <c r="C42" i="12"/>
  <c r="N41" i="12"/>
  <c r="F41" i="12"/>
  <c r="E41" i="12"/>
  <c r="H40" i="12"/>
  <c r="L39" i="12"/>
  <c r="D39" i="12"/>
  <c r="C39" i="12"/>
  <c r="H38" i="12"/>
  <c r="G38" i="12"/>
  <c r="F38" i="12"/>
  <c r="J37" i="12"/>
  <c r="I37" i="12"/>
  <c r="C37" i="12"/>
  <c r="M36" i="12"/>
  <c r="E36" i="12"/>
  <c r="D36" i="12"/>
  <c r="H35" i="12"/>
  <c r="G35" i="12"/>
  <c r="K34" i="12"/>
  <c r="J34" i="12"/>
  <c r="C34" i="12"/>
  <c r="N33" i="12"/>
  <c r="F33" i="12"/>
  <c r="E33" i="12"/>
  <c r="J32" i="12"/>
  <c r="I32" i="12"/>
  <c r="H32" i="12"/>
  <c r="L31" i="12"/>
  <c r="D31" i="12"/>
  <c r="C31" i="12"/>
  <c r="H30" i="12"/>
  <c r="G30" i="12"/>
  <c r="J29" i="12"/>
  <c r="I29" i="12"/>
  <c r="G29" i="12"/>
  <c r="M28" i="12"/>
  <c r="E28" i="12"/>
  <c r="D28" i="12"/>
  <c r="H27" i="12"/>
  <c r="G27" i="12"/>
  <c r="K26" i="12"/>
  <c r="J26" i="12"/>
  <c r="C26" i="12"/>
  <c r="N25" i="12"/>
  <c r="F25" i="12"/>
  <c r="E25" i="12"/>
  <c r="Q24" i="12"/>
  <c r="I24" i="12"/>
  <c r="H24" i="12"/>
  <c r="L23" i="12"/>
  <c r="D23" i="12"/>
  <c r="C23" i="12"/>
  <c r="G22" i="12"/>
  <c r="R21" i="12"/>
  <c r="J21" i="12"/>
  <c r="I21" i="12"/>
  <c r="M20" i="12"/>
  <c r="F20" i="12"/>
  <c r="E20" i="12"/>
  <c r="D20" i="12"/>
  <c r="H19" i="12"/>
  <c r="G19" i="12"/>
  <c r="K18" i="12"/>
  <c r="J18" i="12"/>
  <c r="D18" i="12"/>
  <c r="C18" i="12"/>
  <c r="N17" i="12"/>
  <c r="G17" i="12"/>
  <c r="F17" i="12"/>
  <c r="E17" i="12"/>
  <c r="Q16" i="12"/>
  <c r="I16" i="12"/>
  <c r="H16" i="12"/>
  <c r="L15" i="12"/>
  <c r="D15" i="12"/>
  <c r="C15" i="12"/>
  <c r="P14" i="12"/>
  <c r="F14" i="12"/>
  <c r="J66" i="10"/>
  <c r="I66" i="10"/>
  <c r="M65" i="10"/>
  <c r="E65" i="10"/>
  <c r="D65" i="10"/>
  <c r="G64" i="10"/>
  <c r="K63" i="10"/>
  <c r="J63" i="10"/>
  <c r="C63" i="10"/>
  <c r="N62" i="10"/>
  <c r="F62" i="10"/>
  <c r="E62" i="10"/>
  <c r="Q61" i="10"/>
  <c r="J61" i="10"/>
  <c r="I61" i="10"/>
  <c r="H61" i="10"/>
  <c r="L60" i="10"/>
  <c r="D60" i="10"/>
  <c r="C60" i="10"/>
  <c r="O59" i="10"/>
  <c r="G59" i="10"/>
  <c r="F59" i="10"/>
  <c r="J58" i="10"/>
  <c r="I58" i="10"/>
  <c r="M57" i="10"/>
  <c r="E57" i="10"/>
  <c r="D57" i="10"/>
  <c r="I56" i="10"/>
  <c r="H56" i="10"/>
  <c r="G56" i="10"/>
  <c r="K55" i="10"/>
  <c r="C55" i="10"/>
  <c r="N54" i="10"/>
  <c r="F54" i="10"/>
  <c r="E54" i="10"/>
  <c r="J53" i="10"/>
  <c r="I53" i="10"/>
  <c r="H53" i="10"/>
  <c r="L52" i="10"/>
  <c r="I52" i="10"/>
  <c r="E52" i="10"/>
  <c r="D52" i="10"/>
  <c r="C52" i="10"/>
  <c r="O51" i="10"/>
  <c r="H51" i="10"/>
  <c r="G51" i="10"/>
  <c r="F51" i="10"/>
  <c r="R50" i="10"/>
  <c r="J50" i="10"/>
  <c r="I50" i="10"/>
  <c r="C50" i="10"/>
  <c r="M49" i="10"/>
  <c r="E49" i="10"/>
  <c r="D49" i="10"/>
  <c r="I48" i="10"/>
  <c r="G48" i="10"/>
  <c r="S47" i="10"/>
  <c r="K47" i="10"/>
  <c r="J47" i="10"/>
  <c r="C47" i="10"/>
  <c r="N46" i="10"/>
  <c r="F46" i="10"/>
  <c r="E46" i="10"/>
  <c r="I45" i="10"/>
  <c r="M44" i="10"/>
  <c r="L44" i="10"/>
  <c r="D44" i="10"/>
  <c r="C44" i="10"/>
  <c r="H43" i="10"/>
  <c r="G43" i="10"/>
  <c r="F43" i="10"/>
  <c r="I42" i="10"/>
  <c r="M41" i="10"/>
  <c r="F41" i="10"/>
  <c r="E41" i="10"/>
  <c r="D41" i="10"/>
  <c r="H40" i="10"/>
  <c r="G40" i="10"/>
  <c r="K39" i="10"/>
  <c r="D39" i="10"/>
  <c r="C39" i="10"/>
  <c r="N38" i="10"/>
  <c r="G38" i="10"/>
  <c r="F38" i="10"/>
  <c r="E38" i="10"/>
  <c r="I37" i="10"/>
  <c r="H37" i="10"/>
  <c r="L36" i="10"/>
  <c r="D36" i="10"/>
  <c r="C36" i="10"/>
  <c r="G35" i="10"/>
  <c r="F35" i="10"/>
  <c r="J34" i="10"/>
  <c r="I34" i="10"/>
  <c r="M33" i="10"/>
  <c r="E33" i="10"/>
  <c r="D33" i="10"/>
  <c r="I32" i="10"/>
  <c r="H32" i="10"/>
  <c r="S31" i="10"/>
  <c r="K31" i="10"/>
  <c r="J31" i="10"/>
  <c r="C31" i="10"/>
  <c r="O30" i="10"/>
  <c r="N30" i="10"/>
  <c r="F30" i="10"/>
  <c r="E30" i="10"/>
  <c r="Q29" i="10"/>
  <c r="J29" i="10"/>
  <c r="I29" i="10"/>
  <c r="M28" i="10"/>
  <c r="L28" i="10"/>
  <c r="D28" i="10"/>
  <c r="C28" i="10"/>
  <c r="G27" i="10"/>
  <c r="F27" i="10"/>
  <c r="I26" i="10"/>
  <c r="M25" i="10"/>
  <c r="F25" i="10"/>
  <c r="E25" i="10"/>
  <c r="D25" i="10"/>
  <c r="H24" i="10"/>
  <c r="G24" i="10"/>
  <c r="K23" i="10"/>
  <c r="C23" i="10"/>
  <c r="N22" i="10"/>
  <c r="F22" i="10"/>
  <c r="E22" i="10"/>
  <c r="J21" i="10"/>
  <c r="I21" i="10"/>
  <c r="H21" i="10"/>
  <c r="L20" i="10"/>
  <c r="E20" i="10"/>
  <c r="D20" i="10"/>
  <c r="C20" i="10"/>
  <c r="G19" i="10"/>
  <c r="F19" i="10"/>
  <c r="J18" i="10"/>
  <c r="I18" i="10"/>
  <c r="M17" i="10"/>
  <c r="E17" i="10"/>
  <c r="D17" i="10"/>
  <c r="P16" i="10"/>
  <c r="H16" i="10"/>
  <c r="G16" i="10"/>
  <c r="K15" i="10"/>
  <c r="J15" i="10"/>
  <c r="D15" i="10"/>
  <c r="C15" i="10"/>
  <c r="N14" i="10"/>
  <c r="F14" i="10"/>
  <c r="E14" i="10"/>
  <c r="U19" i="11" l="1"/>
  <c r="U19" i="10"/>
  <c r="U19" i="12"/>
  <c r="U19" i="14"/>
  <c r="U19" i="13"/>
  <c r="U27" i="11"/>
  <c r="U27" i="12"/>
  <c r="U27" i="14"/>
  <c r="U27" i="13"/>
  <c r="U27" i="10"/>
  <c r="U35" i="11"/>
  <c r="U35" i="12"/>
  <c r="U35" i="10"/>
  <c r="U35" i="14"/>
  <c r="U35" i="13"/>
  <c r="U43" i="11"/>
  <c r="U43" i="12"/>
  <c r="U43" i="10"/>
  <c r="U43" i="14"/>
  <c r="U43" i="13"/>
  <c r="U51" i="11"/>
  <c r="U51" i="10"/>
  <c r="U51" i="12"/>
  <c r="U51" i="14"/>
  <c r="U51" i="13"/>
  <c r="U59" i="11"/>
  <c r="U59" i="12"/>
  <c r="U59" i="10"/>
  <c r="U59" i="14"/>
  <c r="U59" i="13"/>
  <c r="G16" i="29"/>
  <c r="T20" i="14" s="1"/>
  <c r="U20" i="14"/>
  <c r="U20" i="13"/>
  <c r="U20" i="11"/>
  <c r="U20" i="12"/>
  <c r="U20" i="10"/>
  <c r="G24" i="29"/>
  <c r="T28" i="14" s="1"/>
  <c r="U28" i="13"/>
  <c r="U28" i="14"/>
  <c r="U28" i="11"/>
  <c r="U28" i="12"/>
  <c r="U28" i="10"/>
  <c r="U36" i="14"/>
  <c r="U36" i="11"/>
  <c r="U36" i="12"/>
  <c r="U36" i="10"/>
  <c r="U36" i="13"/>
  <c r="F40" i="29"/>
  <c r="T44" i="13" s="1"/>
  <c r="U44" i="13"/>
  <c r="U44" i="14"/>
  <c r="U44" i="11"/>
  <c r="U44" i="12"/>
  <c r="U44" i="10"/>
  <c r="U52" i="14"/>
  <c r="U52" i="11"/>
  <c r="U52" i="12"/>
  <c r="U52" i="10"/>
  <c r="U52" i="13"/>
  <c r="U60" i="13"/>
  <c r="U60" i="14"/>
  <c r="U60" i="11"/>
  <c r="U60" i="12"/>
  <c r="U60" i="10"/>
  <c r="U21" i="10"/>
  <c r="U21" i="14"/>
  <c r="U21" i="11"/>
  <c r="U21" i="13"/>
  <c r="U21" i="12"/>
  <c r="U29" i="10"/>
  <c r="U29" i="11"/>
  <c r="U29" i="14"/>
  <c r="U29" i="13"/>
  <c r="U29" i="12"/>
  <c r="U37" i="10"/>
  <c r="U37" i="14"/>
  <c r="U37" i="13"/>
  <c r="U37" i="11"/>
  <c r="U37" i="12"/>
  <c r="U45" i="10"/>
  <c r="U45" i="11"/>
  <c r="U45" i="14"/>
  <c r="U45" i="13"/>
  <c r="U45" i="12"/>
  <c r="U53" i="10"/>
  <c r="U53" i="14"/>
  <c r="U53" i="13"/>
  <c r="U53" i="11"/>
  <c r="U53" i="12"/>
  <c r="U61" i="10"/>
  <c r="U61" i="11"/>
  <c r="U61" i="14"/>
  <c r="U61" i="13"/>
  <c r="U61" i="12"/>
  <c r="D10" i="29"/>
  <c r="T14" i="12" s="1"/>
  <c r="T62" i="19"/>
  <c r="U33" i="14"/>
  <c r="U14" i="13"/>
  <c r="U33" i="11"/>
  <c r="U14" i="12"/>
  <c r="U33" i="13"/>
  <c r="U14" i="11"/>
  <c r="U33" i="12"/>
  <c r="U14" i="10"/>
  <c r="U33" i="10"/>
  <c r="U14" i="14"/>
  <c r="G18" i="29"/>
  <c r="T22" i="14" s="1"/>
  <c r="U22" i="13"/>
  <c r="U22" i="11"/>
  <c r="U22" i="10"/>
  <c r="U22" i="14"/>
  <c r="U22" i="12"/>
  <c r="F26" i="29"/>
  <c r="T30" i="13" s="1"/>
  <c r="U30" i="13"/>
  <c r="U30" i="11"/>
  <c r="U30" i="12"/>
  <c r="U30" i="10"/>
  <c r="U30" i="14"/>
  <c r="F34" i="29"/>
  <c r="T38" i="13" s="1"/>
  <c r="U38" i="13"/>
  <c r="U38" i="12"/>
  <c r="U38" i="11"/>
  <c r="U38" i="10"/>
  <c r="U38" i="14"/>
  <c r="F42" i="29"/>
  <c r="T46" i="13" s="1"/>
  <c r="U46" i="13"/>
  <c r="U46" i="11"/>
  <c r="U46" i="12"/>
  <c r="U46" i="10"/>
  <c r="U46" i="14"/>
  <c r="E50" i="29"/>
  <c r="T54" i="11" s="1"/>
  <c r="U54" i="13"/>
  <c r="U54" i="11"/>
  <c r="U54" i="12"/>
  <c r="U54" i="10"/>
  <c r="U54" i="14"/>
  <c r="G58" i="29"/>
  <c r="T62" i="14" s="1"/>
  <c r="U62" i="13"/>
  <c r="U62" i="11"/>
  <c r="U62" i="10"/>
  <c r="U62" i="14"/>
  <c r="U62" i="12"/>
  <c r="G11" i="29"/>
  <c r="T15" i="14" s="1"/>
  <c r="U15" i="14"/>
  <c r="U15" i="13"/>
  <c r="U15" i="10"/>
  <c r="U15" i="11"/>
  <c r="U15" i="12"/>
  <c r="G19" i="29"/>
  <c r="T23" i="14" s="1"/>
  <c r="U23" i="14"/>
  <c r="U23" i="13"/>
  <c r="U23" i="11"/>
  <c r="U23" i="12"/>
  <c r="U23" i="10"/>
  <c r="G27" i="29"/>
  <c r="T31" i="14" s="1"/>
  <c r="U31" i="13"/>
  <c r="U31" i="11"/>
  <c r="U31" i="10"/>
  <c r="U31" i="12"/>
  <c r="U31" i="14"/>
  <c r="G35" i="29"/>
  <c r="T39" i="14" s="1"/>
  <c r="U39" i="14"/>
  <c r="U39" i="13"/>
  <c r="U39" i="10"/>
  <c r="U39" i="11"/>
  <c r="U39" i="12"/>
  <c r="G43" i="29"/>
  <c r="T47" i="14" s="1"/>
  <c r="U47" i="13"/>
  <c r="U47" i="11"/>
  <c r="U47" i="10"/>
  <c r="U47" i="12"/>
  <c r="U47" i="14"/>
  <c r="F51" i="29"/>
  <c r="T55" i="13" s="1"/>
  <c r="U55" i="14"/>
  <c r="U55" i="13"/>
  <c r="U55" i="10"/>
  <c r="U55" i="11"/>
  <c r="U55" i="12"/>
  <c r="G59" i="29"/>
  <c r="T63" i="14" s="1"/>
  <c r="U63" i="14"/>
  <c r="U63" i="13"/>
  <c r="U63" i="11"/>
  <c r="U63" i="12"/>
  <c r="U63" i="10"/>
  <c r="E12" i="29"/>
  <c r="T16" i="11" s="1"/>
  <c r="U16" i="12"/>
  <c r="U16" i="10"/>
  <c r="U16" i="13"/>
  <c r="U16" i="14"/>
  <c r="U16" i="11"/>
  <c r="E20" i="29"/>
  <c r="T24" i="11" s="1"/>
  <c r="U24" i="12"/>
  <c r="U24" i="10"/>
  <c r="U24" i="13"/>
  <c r="U24" i="14"/>
  <c r="U24" i="11"/>
  <c r="E28" i="29"/>
  <c r="T32" i="11" s="1"/>
  <c r="U32" i="12"/>
  <c r="U32" i="10"/>
  <c r="U32" i="14"/>
  <c r="U32" i="13"/>
  <c r="U32" i="11"/>
  <c r="C36" i="29"/>
  <c r="T40" i="10" s="1"/>
  <c r="U40" i="12"/>
  <c r="U40" i="10"/>
  <c r="U40" i="14"/>
  <c r="U40" i="13"/>
  <c r="U40" i="11"/>
  <c r="D44" i="29"/>
  <c r="T48" i="12" s="1"/>
  <c r="U48" i="12"/>
  <c r="U48" i="10"/>
  <c r="U48" i="14"/>
  <c r="U48" i="13"/>
  <c r="U48" i="11"/>
  <c r="C52" i="29"/>
  <c r="T56" i="10" s="1"/>
  <c r="U56" i="12"/>
  <c r="U56" i="10"/>
  <c r="U56" i="13"/>
  <c r="U56" i="14"/>
  <c r="U56" i="11"/>
  <c r="U64" i="12"/>
  <c r="U64" i="10"/>
  <c r="U64" i="13"/>
  <c r="U64" i="14"/>
  <c r="U64" i="11"/>
  <c r="D13" i="29"/>
  <c r="T17" i="12" s="1"/>
  <c r="U17" i="14"/>
  <c r="U17" i="13"/>
  <c r="U17" i="12"/>
  <c r="U17" i="10"/>
  <c r="U17" i="11"/>
  <c r="D21" i="29"/>
  <c r="T25" i="12" s="1"/>
  <c r="U25" i="14"/>
  <c r="U25" i="13"/>
  <c r="U25" i="11"/>
  <c r="U25" i="12"/>
  <c r="U25" i="10"/>
  <c r="E37" i="29"/>
  <c r="T41" i="11" s="1"/>
  <c r="U41" i="14"/>
  <c r="U41" i="13"/>
  <c r="U41" i="12"/>
  <c r="U41" i="10"/>
  <c r="U41" i="11"/>
  <c r="G45" i="29"/>
  <c r="T49" i="14" s="1"/>
  <c r="U49" i="14"/>
  <c r="U49" i="13"/>
  <c r="U49" i="11"/>
  <c r="U49" i="12"/>
  <c r="U49" i="10"/>
  <c r="C53" i="29"/>
  <c r="T57" i="10" s="1"/>
  <c r="U57" i="14"/>
  <c r="U57" i="13"/>
  <c r="U57" i="12"/>
  <c r="U57" i="10"/>
  <c r="U57" i="11"/>
  <c r="C61" i="29"/>
  <c r="T65" i="10" s="1"/>
  <c r="U65" i="14"/>
  <c r="U65" i="13"/>
  <c r="U65" i="11"/>
  <c r="U65" i="12"/>
  <c r="U65" i="10"/>
  <c r="U18" i="14"/>
  <c r="U18" i="13"/>
  <c r="U18" i="11"/>
  <c r="U18" i="12"/>
  <c r="U18" i="10"/>
  <c r="U26" i="14"/>
  <c r="U26" i="13"/>
  <c r="U26" i="12"/>
  <c r="U26" i="11"/>
  <c r="U26" i="10"/>
  <c r="U34" i="14"/>
  <c r="U34" i="12"/>
  <c r="U34" i="13"/>
  <c r="U34" i="11"/>
  <c r="U34" i="10"/>
  <c r="U42" i="14"/>
  <c r="U42" i="13"/>
  <c r="U42" i="12"/>
  <c r="U42" i="11"/>
  <c r="U42" i="10"/>
  <c r="U50" i="14"/>
  <c r="U50" i="12"/>
  <c r="U50" i="13"/>
  <c r="U50" i="11"/>
  <c r="U50" i="10"/>
  <c r="U58" i="14"/>
  <c r="U58" i="13"/>
  <c r="U58" i="11"/>
  <c r="U58" i="12"/>
  <c r="U58" i="10"/>
  <c r="G10" i="29"/>
  <c r="T14" i="14" s="1"/>
  <c r="D58" i="29"/>
  <c r="T62" i="12" s="1"/>
  <c r="D26" i="29"/>
  <c r="T30" i="12" s="1"/>
  <c r="D34" i="29"/>
  <c r="T38" i="12" s="1"/>
  <c r="F21" i="29"/>
  <c r="T25" i="13" s="1"/>
  <c r="G37" i="29"/>
  <c r="T41" i="14" s="1"/>
  <c r="F43" i="29"/>
  <c r="T47" i="13" s="1"/>
  <c r="E61" i="29"/>
  <c r="T65" i="11" s="1"/>
  <c r="C21" i="29"/>
  <c r="T25" i="10" s="1"/>
  <c r="D37" i="29"/>
  <c r="T41" i="12" s="1"/>
  <c r="G51" i="29"/>
  <c r="T55" i="14" s="1"/>
  <c r="F19" i="29"/>
  <c r="T23" i="13" s="1"/>
  <c r="F11" i="29"/>
  <c r="T15" i="13" s="1"/>
  <c r="E10" i="29"/>
  <c r="T14" i="11" s="1"/>
  <c r="D29" i="29"/>
  <c r="T33" i="12" s="1"/>
  <c r="G50" i="29"/>
  <c r="T54" i="14" s="1"/>
  <c r="F10" i="29"/>
  <c r="T14" i="13" s="1"/>
  <c r="C26" i="29"/>
  <c r="T30" i="10" s="1"/>
  <c r="F29" i="29"/>
  <c r="T33" i="13" s="1"/>
  <c r="C34" i="29"/>
  <c r="T38" i="10" s="1"/>
  <c r="C18" i="29"/>
  <c r="T22" i="10" s="1"/>
  <c r="G34" i="29"/>
  <c r="T38" i="14" s="1"/>
  <c r="E16" i="29"/>
  <c r="T20" i="11" s="1"/>
  <c r="D18" i="29"/>
  <c r="T22" i="12" s="1"/>
  <c r="F27" i="29"/>
  <c r="T31" i="13" s="1"/>
  <c r="F35" i="29"/>
  <c r="T39" i="13" s="1"/>
  <c r="C42" i="29"/>
  <c r="T46" i="10" s="1"/>
  <c r="F59" i="29"/>
  <c r="T63" i="13" s="1"/>
  <c r="E26" i="29"/>
  <c r="T30" i="11" s="1"/>
  <c r="E34" i="29"/>
  <c r="T38" i="11" s="1"/>
  <c r="G26" i="29"/>
  <c r="T30" i="14" s="1"/>
  <c r="C10" i="29"/>
  <c r="T14" i="10" s="1"/>
  <c r="E18" i="29"/>
  <c r="T22" i="11" s="1"/>
  <c r="D42" i="29"/>
  <c r="T46" i="12" s="1"/>
  <c r="C50" i="29"/>
  <c r="T54" i="10" s="1"/>
  <c r="F58" i="29"/>
  <c r="T62" i="13" s="1"/>
  <c r="F18" i="29"/>
  <c r="T22" i="13" s="1"/>
  <c r="D16" i="29"/>
  <c r="T20" i="12" s="1"/>
  <c r="C16" i="29"/>
  <c r="T20" i="10" s="1"/>
  <c r="D24" i="29"/>
  <c r="T28" i="12" s="1"/>
  <c r="C24" i="29"/>
  <c r="T28" i="10" s="1"/>
  <c r="D32" i="29"/>
  <c r="T36" i="12" s="1"/>
  <c r="C32" i="29"/>
  <c r="T36" i="10" s="1"/>
  <c r="E32" i="29"/>
  <c r="T36" i="11" s="1"/>
  <c r="D40" i="29"/>
  <c r="T44" i="12" s="1"/>
  <c r="C40" i="29"/>
  <c r="T44" i="10" s="1"/>
  <c r="G40" i="29"/>
  <c r="T44" i="14" s="1"/>
  <c r="E40" i="29"/>
  <c r="T44" i="11" s="1"/>
  <c r="D48" i="29"/>
  <c r="T52" i="12" s="1"/>
  <c r="C48" i="29"/>
  <c r="T52" i="10" s="1"/>
  <c r="F48" i="29"/>
  <c r="T52" i="13" s="1"/>
  <c r="G48" i="29"/>
  <c r="T52" i="14" s="1"/>
  <c r="D56" i="29"/>
  <c r="T60" i="12" s="1"/>
  <c r="C56" i="29"/>
  <c r="T60" i="10" s="1"/>
  <c r="G56" i="29"/>
  <c r="T60" i="14" s="1"/>
  <c r="E56" i="29"/>
  <c r="T60" i="11" s="1"/>
  <c r="F16" i="29"/>
  <c r="T20" i="13" s="1"/>
  <c r="F24" i="29"/>
  <c r="T28" i="13" s="1"/>
  <c r="G20" i="29"/>
  <c r="T24" i="14" s="1"/>
  <c r="F20" i="29"/>
  <c r="T24" i="13" s="1"/>
  <c r="G60" i="29"/>
  <c r="T64" i="14" s="1"/>
  <c r="F60" i="29"/>
  <c r="T64" i="13" s="1"/>
  <c r="D60" i="29"/>
  <c r="T64" i="12" s="1"/>
  <c r="E60" i="29"/>
  <c r="T64" i="11" s="1"/>
  <c r="F32" i="29"/>
  <c r="T36" i="13" s="1"/>
  <c r="C44" i="29"/>
  <c r="T48" i="10" s="1"/>
  <c r="G28" i="29"/>
  <c r="T32" i="14" s="1"/>
  <c r="F28" i="29"/>
  <c r="T32" i="13" s="1"/>
  <c r="G52" i="29"/>
  <c r="T56" i="14" s="1"/>
  <c r="F52" i="29"/>
  <c r="T56" i="13" s="1"/>
  <c r="E52" i="29"/>
  <c r="T56" i="11" s="1"/>
  <c r="C20" i="29"/>
  <c r="T24" i="10" s="1"/>
  <c r="C28" i="29"/>
  <c r="T32" i="10" s="1"/>
  <c r="G32" i="29"/>
  <c r="T36" i="14" s="1"/>
  <c r="C60" i="29"/>
  <c r="T64" i="10" s="1"/>
  <c r="G12" i="29"/>
  <c r="T16" i="14" s="1"/>
  <c r="F12" i="29"/>
  <c r="T16" i="13" s="1"/>
  <c r="C12" i="29"/>
  <c r="T16" i="10" s="1"/>
  <c r="G36" i="29"/>
  <c r="T40" i="14" s="1"/>
  <c r="F36" i="29"/>
  <c r="T40" i="13" s="1"/>
  <c r="E36" i="29"/>
  <c r="T40" i="11" s="1"/>
  <c r="D36" i="29"/>
  <c r="T40" i="12" s="1"/>
  <c r="G44" i="29"/>
  <c r="T48" i="14" s="1"/>
  <c r="F44" i="29"/>
  <c r="T48" i="13" s="1"/>
  <c r="D12" i="29"/>
  <c r="T16" i="12" s="1"/>
  <c r="D20" i="29"/>
  <c r="T24" i="12" s="1"/>
  <c r="D28" i="29"/>
  <c r="T32" i="12" s="1"/>
  <c r="E44" i="29"/>
  <c r="T48" i="11" s="1"/>
  <c r="E48" i="29"/>
  <c r="T52" i="11" s="1"/>
  <c r="C29" i="29"/>
  <c r="T33" i="10" s="1"/>
  <c r="G29" i="29"/>
  <c r="T33" i="14" s="1"/>
  <c r="E29" i="29"/>
  <c r="T33" i="11" s="1"/>
  <c r="G42" i="29"/>
  <c r="T46" i="14" s="1"/>
  <c r="E42" i="29"/>
  <c r="T46" i="11" s="1"/>
  <c r="F50" i="29"/>
  <c r="T54" i="13" s="1"/>
  <c r="D50" i="29"/>
  <c r="T54" i="12" s="1"/>
  <c r="E58" i="29"/>
  <c r="T62" i="11" s="1"/>
  <c r="C58" i="29"/>
  <c r="T62" i="10" s="1"/>
  <c r="E11" i="29"/>
  <c r="T15" i="11" s="1"/>
  <c r="D11" i="29"/>
  <c r="T15" i="12" s="1"/>
  <c r="C11" i="29"/>
  <c r="T15" i="10" s="1"/>
  <c r="E19" i="29"/>
  <c r="T23" i="11" s="1"/>
  <c r="D19" i="29"/>
  <c r="T23" i="12" s="1"/>
  <c r="C19" i="29"/>
  <c r="T23" i="10" s="1"/>
  <c r="E27" i="29"/>
  <c r="T31" i="11" s="1"/>
  <c r="D27" i="29"/>
  <c r="T31" i="12" s="1"/>
  <c r="C27" i="29"/>
  <c r="T31" i="10" s="1"/>
  <c r="E35" i="29"/>
  <c r="T39" i="11" s="1"/>
  <c r="D35" i="29"/>
  <c r="T39" i="12" s="1"/>
  <c r="C35" i="29"/>
  <c r="T39" i="10" s="1"/>
  <c r="E43" i="29"/>
  <c r="T47" i="11" s="1"/>
  <c r="D43" i="29"/>
  <c r="T47" i="12" s="1"/>
  <c r="C43" i="29"/>
  <c r="T47" i="10" s="1"/>
  <c r="E51" i="29"/>
  <c r="T55" i="11" s="1"/>
  <c r="D51" i="29"/>
  <c r="T55" i="12" s="1"/>
  <c r="C51" i="29"/>
  <c r="T55" i="10" s="1"/>
  <c r="E59" i="29"/>
  <c r="T63" i="11" s="1"/>
  <c r="D59" i="29"/>
  <c r="T63" i="12" s="1"/>
  <c r="C59" i="29"/>
  <c r="T63" i="10" s="1"/>
  <c r="U66" i="14" l="1"/>
  <c r="U66" i="10"/>
  <c r="U66" i="13"/>
  <c r="U66" i="12"/>
  <c r="U66" i="11"/>
  <c r="D62" i="29"/>
  <c r="T66" i="12" s="1"/>
  <c r="C62" i="29"/>
  <c r="T66" i="10" s="1"/>
  <c r="G62" i="29"/>
  <c r="T66" i="14" s="1"/>
  <c r="F62" i="29"/>
  <c r="T66" i="13" s="1"/>
  <c r="E62" i="29"/>
  <c r="T66" i="11" s="1"/>
  <c r="C60" i="1"/>
  <c r="K64" i="10" s="1"/>
</calcChain>
</file>

<file path=xl/sharedStrings.xml><?xml version="1.0" encoding="utf-8"?>
<sst xmlns="http://schemas.openxmlformats.org/spreadsheetml/2006/main" count="1678" uniqueCount="142">
  <si>
    <t>TOTAL</t>
  </si>
  <si>
    <t>PENAL</t>
  </si>
  <si>
    <t>CIVIL</t>
  </si>
  <si>
    <t>CONTENCIOSO</t>
  </si>
  <si>
    <t>SOCIAL</t>
  </si>
  <si>
    <t>Cantabria</t>
  </si>
  <si>
    <t>España</t>
  </si>
  <si>
    <t>Serie Total</t>
  </si>
  <si>
    <t>Serie Civil</t>
  </si>
  <si>
    <t>Serie Contencioso</t>
  </si>
  <si>
    <t>Serie Penal</t>
  </si>
  <si>
    <t>Serie Social</t>
  </si>
  <si>
    <t>Año 2009</t>
  </si>
  <si>
    <t>Año 2008</t>
  </si>
  <si>
    <t>Año 2007</t>
  </si>
  <si>
    <t>Año 2006</t>
  </si>
  <si>
    <t>Año 2005</t>
  </si>
  <si>
    <t>Año 2004</t>
  </si>
  <si>
    <t>Año 2003</t>
  </si>
  <si>
    <t>Año 2002</t>
  </si>
  <si>
    <t>Año 2001</t>
  </si>
  <si>
    <t>Año 2010</t>
  </si>
  <si>
    <t>Año 2011</t>
  </si>
  <si>
    <t>Año 2012</t>
  </si>
  <si>
    <t>Año 2013</t>
  </si>
  <si>
    <t>Año 2014</t>
  </si>
  <si>
    <t>Año 2015</t>
  </si>
  <si>
    <t>Año 2016</t>
  </si>
  <si>
    <t>Año 2017</t>
  </si>
  <si>
    <t>Balears, Illes</t>
  </si>
  <si>
    <t>Rioja, La</t>
  </si>
  <si>
    <t>Albacete</t>
  </si>
  <si>
    <t>Alicante/Alacant</t>
  </si>
  <si>
    <t>Almería</t>
  </si>
  <si>
    <t>Araba/Álava</t>
  </si>
  <si>
    <t>Asturias</t>
  </si>
  <si>
    <t>Ávila</t>
  </si>
  <si>
    <t>Badajoz</t>
  </si>
  <si>
    <t>Barcelona</t>
  </si>
  <si>
    <t>Bizkaia</t>
  </si>
  <si>
    <t>Burgos</t>
  </si>
  <si>
    <t>Cáceres</t>
  </si>
  <si>
    <t>Cádiz</t>
  </si>
  <si>
    <t>Castellón/Castelló</t>
  </si>
  <si>
    <t>Ciudad Real</t>
  </si>
  <si>
    <t>Córdoba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</si>
  <si>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</si>
  <si>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</si>
  <si>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</si>
  <si>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</si>
  <si>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</si>
  <si>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</si>
  <si>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</si>
  <si>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</si>
  <si>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</si>
  <si>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</si>
  <si>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</si>
  <si>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</si>
  <si>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Madrid</t>
  </si>
  <si>
    <t>Málaga</t>
  </si>
  <si>
    <t>Murcia</t>
  </si>
  <si>
    <t>Navarra</t>
  </si>
  <si>
    <t>Ourense</t>
  </si>
  <si>
    <t>Palencia</t>
  </si>
  <si>
    <t>Palmas, Las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</si>
  <si>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</si>
  <si>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</si>
  <si>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</si>
  <si>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</si>
  <si>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</si>
  <si>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</si>
  <si>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</si>
  <si>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</si>
  <si>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</si>
  <si>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Valencia/València</t>
  </si>
  <si>
    <t>Valladolid</t>
  </si>
  <si>
    <t>Zamora</t>
  </si>
  <si>
    <t>Zaragoza</t>
  </si>
  <si>
    <t>Ceuta</t>
  </si>
  <si>
    <t>Melilla</t>
  </si>
  <si>
    <t>PROVINCIA</t>
  </si>
  <si>
    <t>01 Araba/Álava</t>
  </si>
  <si>
    <t>02 Albacete</t>
  </si>
  <si>
    <t>03 Alicante/Alacant</t>
  </si>
  <si>
    <t>04 Almería</t>
  </si>
  <si>
    <t>05 Ávila</t>
  </si>
  <si>
    <t>06 Badajoz</t>
  </si>
  <si>
    <t>07 Balears, Illes</t>
  </si>
  <si>
    <t>08 Barcelona</t>
  </si>
  <si>
    <t>09 Burgos</t>
  </si>
  <si>
    <t>10 Cáceres</t>
  </si>
  <si>
    <t>11 Cádiz</t>
  </si>
  <si>
    <t>12 Castellón/Castelló</t>
  </si>
  <si>
    <t>13 Ciudad Real</t>
  </si>
  <si>
    <t>14 Córdoba</t>
  </si>
  <si>
    <t>15 Coruña, A</t>
  </si>
  <si>
    <t>16 Cuenca</t>
  </si>
  <si>
    <t>17 Girona</t>
  </si>
  <si>
    <t>18 Granada</t>
  </si>
  <si>
    <t>19 Guadalajara</t>
  </si>
  <si>
    <t>20 Gipuzkoa</t>
  </si>
  <si>
    <t>21 Huelva</t>
  </si>
  <si>
    <t>22 Huesca</t>
  </si>
  <si>
    <t>23 Jaén</t>
  </si>
  <si>
    <t>24 León</t>
  </si>
  <si>
    <t>25 Lleida</t>
  </si>
  <si>
    <t>26 Rioja, La</t>
  </si>
  <si>
    <t>27 Lugo</t>
  </si>
  <si>
    <t>28 Madrid</t>
  </si>
  <si>
    <t>29 Málaga</t>
  </si>
  <si>
    <t>30 Murcia</t>
  </si>
  <si>
    <t>31 Navarra</t>
  </si>
  <si>
    <t>32 Ourense</t>
  </si>
  <si>
    <t>33 Asturias</t>
  </si>
  <si>
    <t>34 Palencia</t>
  </si>
  <si>
    <t>35 Palmas, Las</t>
  </si>
  <si>
    <t>36 Pontevedra</t>
  </si>
  <si>
    <t>37 Salamanca</t>
  </si>
  <si>
    <t>38 Santa Cruz de Tenerife</t>
  </si>
  <si>
    <t>39 Cantabria</t>
  </si>
  <si>
    <t>40 Segovia</t>
  </si>
  <si>
    <t>41 Sevilla</t>
  </si>
  <si>
    <t>42 Soria</t>
  </si>
  <si>
    <t>43 Tarragona</t>
  </si>
  <si>
    <t>44 Teruel</t>
  </si>
  <si>
    <t>45 Toledo</t>
  </si>
  <si>
    <t>46 Valencia/València</t>
  </si>
  <si>
    <t>47 Valladolid</t>
  </si>
  <si>
    <t>48 Bizkaia</t>
  </si>
  <si>
    <t>49 Zamora</t>
  </si>
  <si>
    <t>50 Zaragoza</t>
  </si>
  <si>
    <t>51 Ceuta</t>
  </si>
  <si>
    <t>52 Melilla</t>
  </si>
  <si>
    <t>españa</t>
  </si>
  <si>
    <t>Año 2018</t>
  </si>
  <si>
    <r>
      <t>Tasa de litigiosidad</t>
    </r>
    <r>
      <rPr>
        <sz val="10"/>
        <color theme="4"/>
        <rFont val="Verdana"/>
        <family val="2"/>
      </rPr>
      <t>:  nº de asuntos ingresados por cada 1000 habitantes</t>
    </r>
  </si>
  <si>
    <r>
      <t>Fuente</t>
    </r>
    <r>
      <rPr>
        <sz val="10"/>
        <color theme="4"/>
        <rFont val="Verdana"/>
        <family val="2"/>
      </rPr>
      <t>: Sección de Estadística Judicial. CGPJ</t>
    </r>
  </si>
  <si>
    <t>Año 2019</t>
  </si>
  <si>
    <t>Año 2020</t>
  </si>
  <si>
    <t>Año 2021</t>
  </si>
  <si>
    <t>Población</t>
  </si>
  <si>
    <t>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</si>
</sst>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3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Verdana"/>
      <family val="2"/>
    </font>
    <font>
      <b/>
      <sz val="14"/>
      <name val="Verdana"/>
      <family val="2"/>
    </font>
    <font>
      <sz val="11"/>
      <color indexed="8"/>
      <name val="Calibri"/>
      <family val="2"/>
      <scheme val="minor"/>
    </font>
    <font>
      <b/>
      <sz val="11"/>
      <color theme="3" tint="0.39997558519241921"/>
      <name val="Calibri"/>
      <family val="2"/>
    </font>
    <font>
      <b/>
      <sz val="11"/>
      <color theme="4"/>
      <name val="Verdana"/>
      <family val="2"/>
    </font>
    <font>
      <sz val="11"/>
      <color theme="1"/>
      <name val="Verdana"/>
      <family val="2"/>
    </font>
    <font>
      <b/>
      <sz val="11"/>
      <color theme="0"/>
      <name val="Verdana"/>
      <family val="2"/>
    </font>
    <font>
      <sz val="11"/>
      <name val="Verdana"/>
      <family val="2"/>
    </font>
    <font>
      <sz val="10"/>
      <color theme="4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5B3D7"/>
        <bgColor indexed="64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medium">
        <color theme="4" tint="0.79998168889431442"/>
      </left>
      <right style="medium">
        <color theme="4" tint="0.79998168889431442"/>
      </right>
      <top style="medium">
        <color theme="4" tint="0.79998168889431442"/>
      </top>
      <bottom style="medium">
        <color theme="4" tint="0.79998168889431442"/>
      </bottom>
      <diagonal/>
    </border>
  </borders>
  <cellStyleXfs count="4">
    <xf numFmtId="0" fontId="0" fillId="0" borderId="0"/>
    <xf numFmtId="0" fontId="6" fillId="0" borderId="0"/>
    <xf numFmtId="0" fontId="3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7">
    <xf numFmtId="0" fontId="0" fillId="0" borderId="0" xfId="0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7" fillId="2" borderId="2" xfId="2" applyFont="1" applyFill="1" applyBorder="1" applyAlignment="1">
      <alignment horizontal="center"/>
    </xf>
    <xf numFmtId="0" fontId="7" fillId="0" borderId="1" xfId="2" applyFont="1" applyBorder="1" applyAlignment="1">
      <alignment wrapText="1"/>
    </xf>
    <xf numFmtId="0" fontId="7" fillId="0" borderId="1" xfId="2" applyFont="1" applyBorder="1" applyAlignment="1">
      <alignment horizontal="left" wrapText="1"/>
    </xf>
    <xf numFmtId="0" fontId="7" fillId="0" borderId="2" xfId="2" applyFont="1" applyBorder="1" applyAlignment="1">
      <alignment horizontal="center"/>
    </xf>
    <xf numFmtId="3" fontId="0" fillId="0" borderId="0" xfId="0" applyNumberFormat="1"/>
    <xf numFmtId="0" fontId="8" fillId="0" borderId="3" xfId="0" applyFont="1" applyBorder="1" applyAlignment="1" applyProtection="1">
      <alignment horizontal="left" vertical="center" wrapText="1"/>
      <protection locked="0"/>
    </xf>
    <xf numFmtId="0" fontId="8" fillId="3" borderId="4" xfId="0" applyFont="1" applyFill="1" applyBorder="1" applyAlignment="1" applyProtection="1">
      <alignment horizontal="center" vertical="center" wrapText="1"/>
      <protection locked="0"/>
    </xf>
    <xf numFmtId="3" fontId="9" fillId="0" borderId="5" xfId="0" applyNumberFormat="1" applyFont="1" applyBorder="1" applyAlignment="1">
      <alignment horizontal="right" vertical="center"/>
    </xf>
    <xf numFmtId="0" fontId="10" fillId="4" borderId="6" xfId="0" applyFont="1" applyFill="1" applyBorder="1" applyAlignment="1" applyProtection="1">
      <alignment horizontal="left" vertical="center" wrapText="1"/>
      <protection locked="0"/>
    </xf>
    <xf numFmtId="3" fontId="10" fillId="4" borderId="6" xfId="0" applyNumberFormat="1" applyFont="1" applyFill="1" applyBorder="1" applyAlignment="1" applyProtection="1">
      <alignment horizontal="right" vertical="center" wrapText="1"/>
      <protection locked="0"/>
    </xf>
    <xf numFmtId="165" fontId="11" fillId="0" borderId="7" xfId="0" applyNumberFormat="1" applyFont="1" applyBorder="1" applyAlignment="1">
      <alignment horizontal="center" vertical="center"/>
    </xf>
    <xf numFmtId="164" fontId="10" fillId="5" borderId="6" xfId="0" applyNumberFormat="1" applyFont="1" applyFill="1" applyBorder="1" applyAlignment="1">
      <alignment horizontal="center" vertical="center"/>
    </xf>
    <xf numFmtId="0" fontId="8" fillId="0" borderId="0" xfId="3" applyFont="1" applyAlignment="1" applyProtection="1">
      <alignment horizontal="left" vertical="center"/>
    </xf>
  </cellXfs>
  <cellStyles count="4">
    <cellStyle name="Hipervínculo 2" xfId="3" xr:uid="{00000000-0005-0000-0000-000000000000}"/>
    <cellStyle name="Normal" xfId="0" builtinId="0"/>
    <cellStyle name="Normal 2" xfId="1" xr:uid="{00000000-0005-0000-0000-000002000000}"/>
    <cellStyle name="Normal_Hoja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1" Type="http://schemas.openxmlformats.org/officeDocument/2006/relationships/worksheet" Target="worksheets/sheet21.xml"/><Relationship Id="rId170" Type="http://schemas.openxmlformats.org/officeDocument/2006/relationships/externalLink" Target="externalLinks/externalLink140.xml"/><Relationship Id="rId268" Type="http://schemas.openxmlformats.org/officeDocument/2006/relationships/externalLink" Target="externalLinks/externalLink238.xml"/><Relationship Id="rId475" Type="http://schemas.openxmlformats.org/officeDocument/2006/relationships/externalLink" Target="externalLinks/externalLink445.xml"/><Relationship Id="rId682" Type="http://schemas.openxmlformats.org/officeDocument/2006/relationships/externalLink" Target="externalLinks/externalLink652.xml"/><Relationship Id="rId128" Type="http://schemas.openxmlformats.org/officeDocument/2006/relationships/externalLink" Target="externalLinks/externalLink98.xml"/><Relationship Id="rId335" Type="http://schemas.openxmlformats.org/officeDocument/2006/relationships/externalLink" Target="externalLinks/externalLink305.xml"/><Relationship Id="rId542" Type="http://schemas.openxmlformats.org/officeDocument/2006/relationships/externalLink" Target="externalLinks/externalLink512.xml"/><Relationship Id="rId987" Type="http://schemas.openxmlformats.org/officeDocument/2006/relationships/externalLink" Target="externalLinks/externalLink957.xml"/><Relationship Id="rId1172" Type="http://schemas.openxmlformats.org/officeDocument/2006/relationships/externalLink" Target="externalLinks/externalLink1142.xml"/><Relationship Id="rId402" Type="http://schemas.openxmlformats.org/officeDocument/2006/relationships/externalLink" Target="externalLinks/externalLink372.xml"/><Relationship Id="rId847" Type="http://schemas.openxmlformats.org/officeDocument/2006/relationships/externalLink" Target="externalLinks/externalLink817.xml"/><Relationship Id="rId1032" Type="http://schemas.openxmlformats.org/officeDocument/2006/relationships/externalLink" Target="externalLinks/externalLink1002.xml"/><Relationship Id="rId707" Type="http://schemas.openxmlformats.org/officeDocument/2006/relationships/externalLink" Target="externalLinks/externalLink677.xml"/><Relationship Id="rId914" Type="http://schemas.openxmlformats.org/officeDocument/2006/relationships/externalLink" Target="externalLinks/externalLink884.xml"/><Relationship Id="rId43" Type="http://schemas.openxmlformats.org/officeDocument/2006/relationships/externalLink" Target="externalLinks/externalLink13.xml"/><Relationship Id="rId192" Type="http://schemas.openxmlformats.org/officeDocument/2006/relationships/externalLink" Target="externalLinks/externalLink162.xml"/><Relationship Id="rId497" Type="http://schemas.openxmlformats.org/officeDocument/2006/relationships/externalLink" Target="externalLinks/externalLink467.xml"/><Relationship Id="rId357" Type="http://schemas.openxmlformats.org/officeDocument/2006/relationships/externalLink" Target="externalLinks/externalLink327.xml"/><Relationship Id="rId1194" Type="http://schemas.openxmlformats.org/officeDocument/2006/relationships/externalLink" Target="externalLinks/externalLink1164.xml"/><Relationship Id="rId217" Type="http://schemas.openxmlformats.org/officeDocument/2006/relationships/externalLink" Target="externalLinks/externalLink187.xml"/><Relationship Id="rId564" Type="http://schemas.openxmlformats.org/officeDocument/2006/relationships/externalLink" Target="externalLinks/externalLink534.xml"/><Relationship Id="rId771" Type="http://schemas.openxmlformats.org/officeDocument/2006/relationships/externalLink" Target="externalLinks/externalLink741.xml"/><Relationship Id="rId869" Type="http://schemas.openxmlformats.org/officeDocument/2006/relationships/externalLink" Target="externalLinks/externalLink839.xml"/><Relationship Id="rId424" Type="http://schemas.openxmlformats.org/officeDocument/2006/relationships/externalLink" Target="externalLinks/externalLink394.xml"/><Relationship Id="rId631" Type="http://schemas.openxmlformats.org/officeDocument/2006/relationships/externalLink" Target="externalLinks/externalLink601.xml"/><Relationship Id="rId729" Type="http://schemas.openxmlformats.org/officeDocument/2006/relationships/externalLink" Target="externalLinks/externalLink699.xml"/><Relationship Id="rId1054" Type="http://schemas.openxmlformats.org/officeDocument/2006/relationships/externalLink" Target="externalLinks/externalLink1024.xml"/><Relationship Id="rId936" Type="http://schemas.openxmlformats.org/officeDocument/2006/relationships/externalLink" Target="externalLinks/externalLink906.xml"/><Relationship Id="rId1121" Type="http://schemas.openxmlformats.org/officeDocument/2006/relationships/externalLink" Target="externalLinks/externalLink1091.xml"/><Relationship Id="rId65" Type="http://schemas.openxmlformats.org/officeDocument/2006/relationships/externalLink" Target="externalLinks/externalLink35.xml"/><Relationship Id="rId281" Type="http://schemas.openxmlformats.org/officeDocument/2006/relationships/externalLink" Target="externalLinks/externalLink251.xml"/><Relationship Id="rId141" Type="http://schemas.openxmlformats.org/officeDocument/2006/relationships/externalLink" Target="externalLinks/externalLink111.xml"/><Relationship Id="rId379" Type="http://schemas.openxmlformats.org/officeDocument/2006/relationships/externalLink" Target="externalLinks/externalLink349.xml"/><Relationship Id="rId586" Type="http://schemas.openxmlformats.org/officeDocument/2006/relationships/externalLink" Target="externalLinks/externalLink556.xml"/><Relationship Id="rId793" Type="http://schemas.openxmlformats.org/officeDocument/2006/relationships/externalLink" Target="externalLinks/externalLink763.xml"/><Relationship Id="rId7" Type="http://schemas.openxmlformats.org/officeDocument/2006/relationships/worksheet" Target="worksheets/sheet7.xml"/><Relationship Id="rId239" Type="http://schemas.openxmlformats.org/officeDocument/2006/relationships/externalLink" Target="externalLinks/externalLink209.xml"/><Relationship Id="rId446" Type="http://schemas.openxmlformats.org/officeDocument/2006/relationships/externalLink" Target="externalLinks/externalLink416.xml"/><Relationship Id="rId653" Type="http://schemas.openxmlformats.org/officeDocument/2006/relationships/externalLink" Target="externalLinks/externalLink623.xml"/><Relationship Id="rId1076" Type="http://schemas.openxmlformats.org/officeDocument/2006/relationships/externalLink" Target="externalLinks/externalLink1046.xml"/><Relationship Id="rId306" Type="http://schemas.openxmlformats.org/officeDocument/2006/relationships/externalLink" Target="externalLinks/externalLink276.xml"/><Relationship Id="rId860" Type="http://schemas.openxmlformats.org/officeDocument/2006/relationships/externalLink" Target="externalLinks/externalLink830.xml"/><Relationship Id="rId958" Type="http://schemas.openxmlformats.org/officeDocument/2006/relationships/externalLink" Target="externalLinks/externalLink928.xml"/><Relationship Id="rId1143" Type="http://schemas.openxmlformats.org/officeDocument/2006/relationships/externalLink" Target="externalLinks/externalLink1113.xml"/><Relationship Id="rId87" Type="http://schemas.openxmlformats.org/officeDocument/2006/relationships/externalLink" Target="externalLinks/externalLink57.xml"/><Relationship Id="rId513" Type="http://schemas.openxmlformats.org/officeDocument/2006/relationships/externalLink" Target="externalLinks/externalLink483.xml"/><Relationship Id="rId720" Type="http://schemas.openxmlformats.org/officeDocument/2006/relationships/externalLink" Target="externalLinks/externalLink690.xml"/><Relationship Id="rId818" Type="http://schemas.openxmlformats.org/officeDocument/2006/relationships/externalLink" Target="externalLinks/externalLink788.xml"/><Relationship Id="rId1003" Type="http://schemas.openxmlformats.org/officeDocument/2006/relationships/externalLink" Target="externalLinks/externalLink973.xml"/><Relationship Id="rId14" Type="http://schemas.openxmlformats.org/officeDocument/2006/relationships/worksheet" Target="worksheets/sheet14.xml"/><Relationship Id="rId163" Type="http://schemas.openxmlformats.org/officeDocument/2006/relationships/externalLink" Target="externalLinks/externalLink133.xml"/><Relationship Id="rId370" Type="http://schemas.openxmlformats.org/officeDocument/2006/relationships/externalLink" Target="externalLinks/externalLink340.xml"/><Relationship Id="rId230" Type="http://schemas.openxmlformats.org/officeDocument/2006/relationships/externalLink" Target="externalLinks/externalLink200.xml"/><Relationship Id="rId468" Type="http://schemas.openxmlformats.org/officeDocument/2006/relationships/externalLink" Target="externalLinks/externalLink438.xml"/><Relationship Id="rId675" Type="http://schemas.openxmlformats.org/officeDocument/2006/relationships/externalLink" Target="externalLinks/externalLink645.xml"/><Relationship Id="rId882" Type="http://schemas.openxmlformats.org/officeDocument/2006/relationships/externalLink" Target="externalLinks/externalLink852.xml"/><Relationship Id="rId1098" Type="http://schemas.openxmlformats.org/officeDocument/2006/relationships/externalLink" Target="externalLinks/externalLink1068.xml"/><Relationship Id="rId328" Type="http://schemas.openxmlformats.org/officeDocument/2006/relationships/externalLink" Target="externalLinks/externalLink298.xml"/><Relationship Id="rId535" Type="http://schemas.openxmlformats.org/officeDocument/2006/relationships/externalLink" Target="externalLinks/externalLink505.xml"/><Relationship Id="rId742" Type="http://schemas.openxmlformats.org/officeDocument/2006/relationships/externalLink" Target="externalLinks/externalLink712.xml"/><Relationship Id="rId1165" Type="http://schemas.openxmlformats.org/officeDocument/2006/relationships/externalLink" Target="externalLinks/externalLink1135.xml"/><Relationship Id="rId602" Type="http://schemas.openxmlformats.org/officeDocument/2006/relationships/externalLink" Target="externalLinks/externalLink572.xml"/><Relationship Id="rId1025" Type="http://schemas.openxmlformats.org/officeDocument/2006/relationships/externalLink" Target="externalLinks/externalLink995.xml"/><Relationship Id="rId907" Type="http://schemas.openxmlformats.org/officeDocument/2006/relationships/externalLink" Target="externalLinks/externalLink877.xml"/><Relationship Id="rId36" Type="http://schemas.openxmlformats.org/officeDocument/2006/relationships/externalLink" Target="externalLinks/externalLink6.xml"/><Relationship Id="rId185" Type="http://schemas.openxmlformats.org/officeDocument/2006/relationships/externalLink" Target="externalLinks/externalLink155.xml"/><Relationship Id="rId392" Type="http://schemas.openxmlformats.org/officeDocument/2006/relationships/externalLink" Target="externalLinks/externalLink362.xml"/><Relationship Id="rId697" Type="http://schemas.openxmlformats.org/officeDocument/2006/relationships/externalLink" Target="externalLinks/externalLink667.xml"/><Relationship Id="rId252" Type="http://schemas.openxmlformats.org/officeDocument/2006/relationships/externalLink" Target="externalLinks/externalLink222.xml"/><Relationship Id="rId1187" Type="http://schemas.openxmlformats.org/officeDocument/2006/relationships/externalLink" Target="externalLinks/externalLink1157.xml"/><Relationship Id="rId112" Type="http://schemas.openxmlformats.org/officeDocument/2006/relationships/externalLink" Target="externalLinks/externalLink82.xml"/><Relationship Id="rId557" Type="http://schemas.openxmlformats.org/officeDocument/2006/relationships/externalLink" Target="externalLinks/externalLink527.xml"/><Relationship Id="rId764" Type="http://schemas.openxmlformats.org/officeDocument/2006/relationships/externalLink" Target="externalLinks/externalLink734.xml"/><Relationship Id="rId971" Type="http://schemas.openxmlformats.org/officeDocument/2006/relationships/externalLink" Target="externalLinks/externalLink941.xml"/><Relationship Id="rId417" Type="http://schemas.openxmlformats.org/officeDocument/2006/relationships/externalLink" Target="externalLinks/externalLink387.xml"/><Relationship Id="rId624" Type="http://schemas.openxmlformats.org/officeDocument/2006/relationships/externalLink" Target="externalLinks/externalLink594.xml"/><Relationship Id="rId831" Type="http://schemas.openxmlformats.org/officeDocument/2006/relationships/externalLink" Target="externalLinks/externalLink801.xml"/><Relationship Id="rId1047" Type="http://schemas.openxmlformats.org/officeDocument/2006/relationships/externalLink" Target="externalLinks/externalLink1017.xml"/><Relationship Id="rId929" Type="http://schemas.openxmlformats.org/officeDocument/2006/relationships/externalLink" Target="externalLinks/externalLink899.xml"/><Relationship Id="rId1114" Type="http://schemas.openxmlformats.org/officeDocument/2006/relationships/externalLink" Target="externalLinks/externalLink1084.xml"/><Relationship Id="rId58" Type="http://schemas.openxmlformats.org/officeDocument/2006/relationships/externalLink" Target="externalLinks/externalLink28.xml"/><Relationship Id="rId274" Type="http://schemas.openxmlformats.org/officeDocument/2006/relationships/externalLink" Target="externalLinks/externalLink244.xml"/><Relationship Id="rId481" Type="http://schemas.openxmlformats.org/officeDocument/2006/relationships/externalLink" Target="externalLinks/externalLink451.xml"/><Relationship Id="rId134" Type="http://schemas.openxmlformats.org/officeDocument/2006/relationships/externalLink" Target="externalLinks/externalLink104.xml"/><Relationship Id="rId579" Type="http://schemas.openxmlformats.org/officeDocument/2006/relationships/externalLink" Target="externalLinks/externalLink549.xml"/><Relationship Id="rId786" Type="http://schemas.openxmlformats.org/officeDocument/2006/relationships/externalLink" Target="externalLinks/externalLink756.xml"/><Relationship Id="rId993" Type="http://schemas.openxmlformats.org/officeDocument/2006/relationships/externalLink" Target="externalLinks/externalLink963.xml"/><Relationship Id="rId341" Type="http://schemas.openxmlformats.org/officeDocument/2006/relationships/externalLink" Target="externalLinks/externalLink311.xml"/><Relationship Id="rId439" Type="http://schemas.openxmlformats.org/officeDocument/2006/relationships/externalLink" Target="externalLinks/externalLink409.xml"/><Relationship Id="rId646" Type="http://schemas.openxmlformats.org/officeDocument/2006/relationships/externalLink" Target="externalLinks/externalLink616.xml"/><Relationship Id="rId1069" Type="http://schemas.openxmlformats.org/officeDocument/2006/relationships/externalLink" Target="externalLinks/externalLink1039.xml"/><Relationship Id="rId201" Type="http://schemas.openxmlformats.org/officeDocument/2006/relationships/externalLink" Target="externalLinks/externalLink171.xml"/><Relationship Id="rId506" Type="http://schemas.openxmlformats.org/officeDocument/2006/relationships/externalLink" Target="externalLinks/externalLink476.xml"/><Relationship Id="rId853" Type="http://schemas.openxmlformats.org/officeDocument/2006/relationships/externalLink" Target="externalLinks/externalLink823.xml"/><Relationship Id="rId1136" Type="http://schemas.openxmlformats.org/officeDocument/2006/relationships/externalLink" Target="externalLinks/externalLink1106.xml"/><Relationship Id="rId713" Type="http://schemas.openxmlformats.org/officeDocument/2006/relationships/externalLink" Target="externalLinks/externalLink683.xml"/><Relationship Id="rId920" Type="http://schemas.openxmlformats.org/officeDocument/2006/relationships/externalLink" Target="externalLinks/externalLink890.xml"/><Relationship Id="rId1203" Type="http://schemas.openxmlformats.org/officeDocument/2006/relationships/customXml" Target="../customXml/item3.xml"/><Relationship Id="rId296" Type="http://schemas.openxmlformats.org/officeDocument/2006/relationships/externalLink" Target="externalLinks/externalLink266.xml"/><Relationship Id="rId517" Type="http://schemas.openxmlformats.org/officeDocument/2006/relationships/externalLink" Target="externalLinks/externalLink487.xml"/><Relationship Id="rId724" Type="http://schemas.openxmlformats.org/officeDocument/2006/relationships/externalLink" Target="externalLinks/externalLink694.xml"/><Relationship Id="rId931" Type="http://schemas.openxmlformats.org/officeDocument/2006/relationships/externalLink" Target="externalLinks/externalLink901.xml"/><Relationship Id="rId1147" Type="http://schemas.openxmlformats.org/officeDocument/2006/relationships/externalLink" Target="externalLinks/externalLink1117.xml"/><Relationship Id="rId60" Type="http://schemas.openxmlformats.org/officeDocument/2006/relationships/externalLink" Target="externalLinks/externalLink30.xml"/><Relationship Id="rId156" Type="http://schemas.openxmlformats.org/officeDocument/2006/relationships/externalLink" Target="externalLinks/externalLink126.xml"/><Relationship Id="rId363" Type="http://schemas.openxmlformats.org/officeDocument/2006/relationships/externalLink" Target="externalLinks/externalLink333.xml"/><Relationship Id="rId570" Type="http://schemas.openxmlformats.org/officeDocument/2006/relationships/externalLink" Target="externalLinks/externalLink540.xml"/><Relationship Id="rId1007" Type="http://schemas.openxmlformats.org/officeDocument/2006/relationships/externalLink" Target="externalLinks/externalLink977.xml"/><Relationship Id="rId223" Type="http://schemas.openxmlformats.org/officeDocument/2006/relationships/externalLink" Target="externalLinks/externalLink193.xml"/><Relationship Id="rId430" Type="http://schemas.openxmlformats.org/officeDocument/2006/relationships/externalLink" Target="externalLinks/externalLink400.xml"/><Relationship Id="rId668" Type="http://schemas.openxmlformats.org/officeDocument/2006/relationships/externalLink" Target="externalLinks/externalLink638.xml"/><Relationship Id="rId875" Type="http://schemas.openxmlformats.org/officeDocument/2006/relationships/externalLink" Target="externalLinks/externalLink845.xml"/><Relationship Id="rId1060" Type="http://schemas.openxmlformats.org/officeDocument/2006/relationships/externalLink" Target="externalLinks/externalLink1030.xml"/><Relationship Id="rId18" Type="http://schemas.openxmlformats.org/officeDocument/2006/relationships/worksheet" Target="worksheets/sheet18.xml"/><Relationship Id="rId528" Type="http://schemas.openxmlformats.org/officeDocument/2006/relationships/externalLink" Target="externalLinks/externalLink498.xml"/><Relationship Id="rId735" Type="http://schemas.openxmlformats.org/officeDocument/2006/relationships/externalLink" Target="externalLinks/externalLink705.xml"/><Relationship Id="rId942" Type="http://schemas.openxmlformats.org/officeDocument/2006/relationships/externalLink" Target="externalLinks/externalLink912.xml"/><Relationship Id="rId1158" Type="http://schemas.openxmlformats.org/officeDocument/2006/relationships/externalLink" Target="externalLinks/externalLink1128.xml"/><Relationship Id="rId167" Type="http://schemas.openxmlformats.org/officeDocument/2006/relationships/externalLink" Target="externalLinks/externalLink137.xml"/><Relationship Id="rId374" Type="http://schemas.openxmlformats.org/officeDocument/2006/relationships/externalLink" Target="externalLinks/externalLink344.xml"/><Relationship Id="rId581" Type="http://schemas.openxmlformats.org/officeDocument/2006/relationships/externalLink" Target="externalLinks/externalLink551.xml"/><Relationship Id="rId1018" Type="http://schemas.openxmlformats.org/officeDocument/2006/relationships/externalLink" Target="externalLinks/externalLink988.xml"/><Relationship Id="rId71" Type="http://schemas.openxmlformats.org/officeDocument/2006/relationships/externalLink" Target="externalLinks/externalLink41.xml"/><Relationship Id="rId234" Type="http://schemas.openxmlformats.org/officeDocument/2006/relationships/externalLink" Target="externalLinks/externalLink204.xml"/><Relationship Id="rId679" Type="http://schemas.openxmlformats.org/officeDocument/2006/relationships/externalLink" Target="externalLinks/externalLink649.xml"/><Relationship Id="rId802" Type="http://schemas.openxmlformats.org/officeDocument/2006/relationships/externalLink" Target="externalLinks/externalLink772.xml"/><Relationship Id="rId886" Type="http://schemas.openxmlformats.org/officeDocument/2006/relationships/externalLink" Target="externalLinks/externalLink85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41" Type="http://schemas.openxmlformats.org/officeDocument/2006/relationships/externalLink" Target="externalLinks/externalLink411.xml"/><Relationship Id="rId539" Type="http://schemas.openxmlformats.org/officeDocument/2006/relationships/externalLink" Target="externalLinks/externalLink509.xml"/><Relationship Id="rId746" Type="http://schemas.openxmlformats.org/officeDocument/2006/relationships/externalLink" Target="externalLinks/externalLink716.xml"/><Relationship Id="rId1071" Type="http://schemas.openxmlformats.org/officeDocument/2006/relationships/externalLink" Target="externalLinks/externalLink1041.xml"/><Relationship Id="rId1169" Type="http://schemas.openxmlformats.org/officeDocument/2006/relationships/externalLink" Target="externalLinks/externalLink1139.xml"/><Relationship Id="rId178" Type="http://schemas.openxmlformats.org/officeDocument/2006/relationships/externalLink" Target="externalLinks/externalLink148.xml"/><Relationship Id="rId301" Type="http://schemas.openxmlformats.org/officeDocument/2006/relationships/externalLink" Target="externalLinks/externalLink271.xml"/><Relationship Id="rId953" Type="http://schemas.openxmlformats.org/officeDocument/2006/relationships/externalLink" Target="externalLinks/externalLink923.xml"/><Relationship Id="rId1029" Type="http://schemas.openxmlformats.org/officeDocument/2006/relationships/externalLink" Target="externalLinks/externalLink999.xml"/><Relationship Id="rId82" Type="http://schemas.openxmlformats.org/officeDocument/2006/relationships/externalLink" Target="externalLinks/externalLink52.xml"/><Relationship Id="rId385" Type="http://schemas.openxmlformats.org/officeDocument/2006/relationships/externalLink" Target="externalLinks/externalLink355.xml"/><Relationship Id="rId592" Type="http://schemas.openxmlformats.org/officeDocument/2006/relationships/externalLink" Target="externalLinks/externalLink562.xml"/><Relationship Id="rId606" Type="http://schemas.openxmlformats.org/officeDocument/2006/relationships/externalLink" Target="externalLinks/externalLink576.xml"/><Relationship Id="rId813" Type="http://schemas.openxmlformats.org/officeDocument/2006/relationships/externalLink" Target="externalLinks/externalLink783.xml"/><Relationship Id="rId245" Type="http://schemas.openxmlformats.org/officeDocument/2006/relationships/externalLink" Target="externalLinks/externalLink215.xml"/><Relationship Id="rId452" Type="http://schemas.openxmlformats.org/officeDocument/2006/relationships/externalLink" Target="externalLinks/externalLink422.xml"/><Relationship Id="rId897" Type="http://schemas.openxmlformats.org/officeDocument/2006/relationships/externalLink" Target="externalLinks/externalLink867.xml"/><Relationship Id="rId1082" Type="http://schemas.openxmlformats.org/officeDocument/2006/relationships/externalLink" Target="externalLinks/externalLink1052.xml"/><Relationship Id="rId105" Type="http://schemas.openxmlformats.org/officeDocument/2006/relationships/externalLink" Target="externalLinks/externalLink75.xml"/><Relationship Id="rId312" Type="http://schemas.openxmlformats.org/officeDocument/2006/relationships/externalLink" Target="externalLinks/externalLink282.xml"/><Relationship Id="rId757" Type="http://schemas.openxmlformats.org/officeDocument/2006/relationships/externalLink" Target="externalLinks/externalLink727.xml"/><Relationship Id="rId964" Type="http://schemas.openxmlformats.org/officeDocument/2006/relationships/externalLink" Target="externalLinks/externalLink934.xml"/><Relationship Id="rId93" Type="http://schemas.openxmlformats.org/officeDocument/2006/relationships/externalLink" Target="externalLinks/externalLink63.xml"/><Relationship Id="rId189" Type="http://schemas.openxmlformats.org/officeDocument/2006/relationships/externalLink" Target="externalLinks/externalLink159.xml"/><Relationship Id="rId396" Type="http://schemas.openxmlformats.org/officeDocument/2006/relationships/externalLink" Target="externalLinks/externalLink366.xml"/><Relationship Id="rId617" Type="http://schemas.openxmlformats.org/officeDocument/2006/relationships/externalLink" Target="externalLinks/externalLink587.xml"/><Relationship Id="rId824" Type="http://schemas.openxmlformats.org/officeDocument/2006/relationships/externalLink" Target="externalLinks/externalLink794.xml"/><Relationship Id="rId256" Type="http://schemas.openxmlformats.org/officeDocument/2006/relationships/externalLink" Target="externalLinks/externalLink226.xml"/><Relationship Id="rId463" Type="http://schemas.openxmlformats.org/officeDocument/2006/relationships/externalLink" Target="externalLinks/externalLink433.xml"/><Relationship Id="rId670" Type="http://schemas.openxmlformats.org/officeDocument/2006/relationships/externalLink" Target="externalLinks/externalLink640.xml"/><Relationship Id="rId1093" Type="http://schemas.openxmlformats.org/officeDocument/2006/relationships/externalLink" Target="externalLinks/externalLink1063.xml"/><Relationship Id="rId1107" Type="http://schemas.openxmlformats.org/officeDocument/2006/relationships/externalLink" Target="externalLinks/externalLink1077.xml"/><Relationship Id="rId116" Type="http://schemas.openxmlformats.org/officeDocument/2006/relationships/externalLink" Target="externalLinks/externalLink86.xml"/><Relationship Id="rId323" Type="http://schemas.openxmlformats.org/officeDocument/2006/relationships/externalLink" Target="externalLinks/externalLink293.xml"/><Relationship Id="rId530" Type="http://schemas.openxmlformats.org/officeDocument/2006/relationships/externalLink" Target="externalLinks/externalLink500.xml"/><Relationship Id="rId768" Type="http://schemas.openxmlformats.org/officeDocument/2006/relationships/externalLink" Target="externalLinks/externalLink738.xml"/><Relationship Id="rId975" Type="http://schemas.openxmlformats.org/officeDocument/2006/relationships/externalLink" Target="externalLinks/externalLink945.xml"/><Relationship Id="rId1160" Type="http://schemas.openxmlformats.org/officeDocument/2006/relationships/externalLink" Target="externalLinks/externalLink1130.xml"/><Relationship Id="rId20" Type="http://schemas.openxmlformats.org/officeDocument/2006/relationships/worksheet" Target="worksheets/sheet20.xml"/><Relationship Id="rId628" Type="http://schemas.openxmlformats.org/officeDocument/2006/relationships/externalLink" Target="externalLinks/externalLink598.xml"/><Relationship Id="rId835" Type="http://schemas.openxmlformats.org/officeDocument/2006/relationships/externalLink" Target="externalLinks/externalLink805.xml"/><Relationship Id="rId267" Type="http://schemas.openxmlformats.org/officeDocument/2006/relationships/externalLink" Target="externalLinks/externalLink237.xml"/><Relationship Id="rId474" Type="http://schemas.openxmlformats.org/officeDocument/2006/relationships/externalLink" Target="externalLinks/externalLink444.xml"/><Relationship Id="rId1020" Type="http://schemas.openxmlformats.org/officeDocument/2006/relationships/externalLink" Target="externalLinks/externalLink990.xml"/><Relationship Id="rId1118" Type="http://schemas.openxmlformats.org/officeDocument/2006/relationships/externalLink" Target="externalLinks/externalLink1088.xml"/><Relationship Id="rId127" Type="http://schemas.openxmlformats.org/officeDocument/2006/relationships/externalLink" Target="externalLinks/externalLink97.xml"/><Relationship Id="rId681" Type="http://schemas.openxmlformats.org/officeDocument/2006/relationships/externalLink" Target="externalLinks/externalLink651.xml"/><Relationship Id="rId779" Type="http://schemas.openxmlformats.org/officeDocument/2006/relationships/externalLink" Target="externalLinks/externalLink749.xml"/><Relationship Id="rId902" Type="http://schemas.openxmlformats.org/officeDocument/2006/relationships/externalLink" Target="externalLinks/externalLink872.xml"/><Relationship Id="rId986" Type="http://schemas.openxmlformats.org/officeDocument/2006/relationships/externalLink" Target="externalLinks/externalLink956.xml"/><Relationship Id="rId31" Type="http://schemas.openxmlformats.org/officeDocument/2006/relationships/externalLink" Target="externalLinks/externalLink1.xml"/><Relationship Id="rId334" Type="http://schemas.openxmlformats.org/officeDocument/2006/relationships/externalLink" Target="externalLinks/externalLink304.xml"/><Relationship Id="rId541" Type="http://schemas.openxmlformats.org/officeDocument/2006/relationships/externalLink" Target="externalLinks/externalLink511.xml"/><Relationship Id="rId639" Type="http://schemas.openxmlformats.org/officeDocument/2006/relationships/externalLink" Target="externalLinks/externalLink609.xml"/><Relationship Id="rId1171" Type="http://schemas.openxmlformats.org/officeDocument/2006/relationships/externalLink" Target="externalLinks/externalLink1141.xml"/><Relationship Id="rId180" Type="http://schemas.openxmlformats.org/officeDocument/2006/relationships/externalLink" Target="externalLinks/externalLink150.xml"/><Relationship Id="rId278" Type="http://schemas.openxmlformats.org/officeDocument/2006/relationships/externalLink" Target="externalLinks/externalLink248.xml"/><Relationship Id="rId401" Type="http://schemas.openxmlformats.org/officeDocument/2006/relationships/externalLink" Target="externalLinks/externalLink371.xml"/><Relationship Id="rId846" Type="http://schemas.openxmlformats.org/officeDocument/2006/relationships/externalLink" Target="externalLinks/externalLink816.xml"/><Relationship Id="rId1031" Type="http://schemas.openxmlformats.org/officeDocument/2006/relationships/externalLink" Target="externalLinks/externalLink1001.xml"/><Relationship Id="rId1129" Type="http://schemas.openxmlformats.org/officeDocument/2006/relationships/externalLink" Target="externalLinks/externalLink1099.xml"/><Relationship Id="rId485" Type="http://schemas.openxmlformats.org/officeDocument/2006/relationships/externalLink" Target="externalLinks/externalLink455.xml"/><Relationship Id="rId692" Type="http://schemas.openxmlformats.org/officeDocument/2006/relationships/externalLink" Target="externalLinks/externalLink662.xml"/><Relationship Id="rId706" Type="http://schemas.openxmlformats.org/officeDocument/2006/relationships/externalLink" Target="externalLinks/externalLink676.xml"/><Relationship Id="rId913" Type="http://schemas.openxmlformats.org/officeDocument/2006/relationships/externalLink" Target="externalLinks/externalLink883.xml"/><Relationship Id="rId42" Type="http://schemas.openxmlformats.org/officeDocument/2006/relationships/externalLink" Target="externalLinks/externalLink12.xml"/><Relationship Id="rId138" Type="http://schemas.openxmlformats.org/officeDocument/2006/relationships/externalLink" Target="externalLinks/externalLink108.xml"/><Relationship Id="rId345" Type="http://schemas.openxmlformats.org/officeDocument/2006/relationships/externalLink" Target="externalLinks/externalLink315.xml"/><Relationship Id="rId552" Type="http://schemas.openxmlformats.org/officeDocument/2006/relationships/externalLink" Target="externalLinks/externalLink522.xml"/><Relationship Id="rId997" Type="http://schemas.openxmlformats.org/officeDocument/2006/relationships/externalLink" Target="externalLinks/externalLink967.xml"/><Relationship Id="rId1182" Type="http://schemas.openxmlformats.org/officeDocument/2006/relationships/externalLink" Target="externalLinks/externalLink1152.xml"/><Relationship Id="rId191" Type="http://schemas.openxmlformats.org/officeDocument/2006/relationships/externalLink" Target="externalLinks/externalLink161.xml"/><Relationship Id="rId205" Type="http://schemas.openxmlformats.org/officeDocument/2006/relationships/externalLink" Target="externalLinks/externalLink175.xml"/><Relationship Id="rId412" Type="http://schemas.openxmlformats.org/officeDocument/2006/relationships/externalLink" Target="externalLinks/externalLink382.xml"/><Relationship Id="rId857" Type="http://schemas.openxmlformats.org/officeDocument/2006/relationships/externalLink" Target="externalLinks/externalLink827.xml"/><Relationship Id="rId1042" Type="http://schemas.openxmlformats.org/officeDocument/2006/relationships/externalLink" Target="externalLinks/externalLink1012.xml"/><Relationship Id="rId289" Type="http://schemas.openxmlformats.org/officeDocument/2006/relationships/externalLink" Target="externalLinks/externalLink259.xml"/><Relationship Id="rId496" Type="http://schemas.openxmlformats.org/officeDocument/2006/relationships/externalLink" Target="externalLinks/externalLink466.xml"/><Relationship Id="rId717" Type="http://schemas.openxmlformats.org/officeDocument/2006/relationships/externalLink" Target="externalLinks/externalLink687.xml"/><Relationship Id="rId924" Type="http://schemas.openxmlformats.org/officeDocument/2006/relationships/externalLink" Target="externalLinks/externalLink894.xml"/><Relationship Id="rId53" Type="http://schemas.openxmlformats.org/officeDocument/2006/relationships/externalLink" Target="externalLinks/externalLink23.xml"/><Relationship Id="rId149" Type="http://schemas.openxmlformats.org/officeDocument/2006/relationships/externalLink" Target="externalLinks/externalLink119.xml"/><Relationship Id="rId356" Type="http://schemas.openxmlformats.org/officeDocument/2006/relationships/externalLink" Target="externalLinks/externalLink326.xml"/><Relationship Id="rId563" Type="http://schemas.openxmlformats.org/officeDocument/2006/relationships/externalLink" Target="externalLinks/externalLink533.xml"/><Relationship Id="rId770" Type="http://schemas.openxmlformats.org/officeDocument/2006/relationships/externalLink" Target="externalLinks/externalLink740.xml"/><Relationship Id="rId1193" Type="http://schemas.openxmlformats.org/officeDocument/2006/relationships/externalLink" Target="externalLinks/externalLink1163.xml"/><Relationship Id="rId216" Type="http://schemas.openxmlformats.org/officeDocument/2006/relationships/externalLink" Target="externalLinks/externalLink186.xml"/><Relationship Id="rId423" Type="http://schemas.openxmlformats.org/officeDocument/2006/relationships/externalLink" Target="externalLinks/externalLink393.xml"/><Relationship Id="rId868" Type="http://schemas.openxmlformats.org/officeDocument/2006/relationships/externalLink" Target="externalLinks/externalLink838.xml"/><Relationship Id="rId1053" Type="http://schemas.openxmlformats.org/officeDocument/2006/relationships/externalLink" Target="externalLinks/externalLink1023.xml"/><Relationship Id="rId630" Type="http://schemas.openxmlformats.org/officeDocument/2006/relationships/externalLink" Target="externalLinks/externalLink600.xml"/><Relationship Id="rId728" Type="http://schemas.openxmlformats.org/officeDocument/2006/relationships/externalLink" Target="externalLinks/externalLink698.xml"/><Relationship Id="rId935" Type="http://schemas.openxmlformats.org/officeDocument/2006/relationships/externalLink" Target="externalLinks/externalLink905.xml"/><Relationship Id="rId64" Type="http://schemas.openxmlformats.org/officeDocument/2006/relationships/externalLink" Target="externalLinks/externalLink34.xml"/><Relationship Id="rId367" Type="http://schemas.openxmlformats.org/officeDocument/2006/relationships/externalLink" Target="externalLinks/externalLink337.xml"/><Relationship Id="rId574" Type="http://schemas.openxmlformats.org/officeDocument/2006/relationships/externalLink" Target="externalLinks/externalLink544.xml"/><Relationship Id="rId1120" Type="http://schemas.openxmlformats.org/officeDocument/2006/relationships/externalLink" Target="externalLinks/externalLink1090.xml"/><Relationship Id="rId227" Type="http://schemas.openxmlformats.org/officeDocument/2006/relationships/externalLink" Target="externalLinks/externalLink197.xml"/><Relationship Id="rId781" Type="http://schemas.openxmlformats.org/officeDocument/2006/relationships/externalLink" Target="externalLinks/externalLink751.xml"/><Relationship Id="rId879" Type="http://schemas.openxmlformats.org/officeDocument/2006/relationships/externalLink" Target="externalLinks/externalLink849.xml"/><Relationship Id="rId434" Type="http://schemas.openxmlformats.org/officeDocument/2006/relationships/externalLink" Target="externalLinks/externalLink404.xml"/><Relationship Id="rId641" Type="http://schemas.openxmlformats.org/officeDocument/2006/relationships/externalLink" Target="externalLinks/externalLink611.xml"/><Relationship Id="rId739" Type="http://schemas.openxmlformats.org/officeDocument/2006/relationships/externalLink" Target="externalLinks/externalLink709.xml"/><Relationship Id="rId1064" Type="http://schemas.openxmlformats.org/officeDocument/2006/relationships/externalLink" Target="externalLinks/externalLink1034.xml"/><Relationship Id="rId280" Type="http://schemas.openxmlformats.org/officeDocument/2006/relationships/externalLink" Target="externalLinks/externalLink250.xml"/><Relationship Id="rId501" Type="http://schemas.openxmlformats.org/officeDocument/2006/relationships/externalLink" Target="externalLinks/externalLink471.xml"/><Relationship Id="rId946" Type="http://schemas.openxmlformats.org/officeDocument/2006/relationships/externalLink" Target="externalLinks/externalLink916.xml"/><Relationship Id="rId1131" Type="http://schemas.openxmlformats.org/officeDocument/2006/relationships/externalLink" Target="externalLinks/externalLink1101.xml"/><Relationship Id="rId75" Type="http://schemas.openxmlformats.org/officeDocument/2006/relationships/externalLink" Target="externalLinks/externalLink45.xml"/><Relationship Id="rId140" Type="http://schemas.openxmlformats.org/officeDocument/2006/relationships/externalLink" Target="externalLinks/externalLink110.xml"/><Relationship Id="rId378" Type="http://schemas.openxmlformats.org/officeDocument/2006/relationships/externalLink" Target="externalLinks/externalLink348.xml"/><Relationship Id="rId585" Type="http://schemas.openxmlformats.org/officeDocument/2006/relationships/externalLink" Target="externalLinks/externalLink555.xml"/><Relationship Id="rId792" Type="http://schemas.openxmlformats.org/officeDocument/2006/relationships/externalLink" Target="externalLinks/externalLink762.xml"/><Relationship Id="rId806" Type="http://schemas.openxmlformats.org/officeDocument/2006/relationships/externalLink" Target="externalLinks/externalLink776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08.xml"/><Relationship Id="rId445" Type="http://schemas.openxmlformats.org/officeDocument/2006/relationships/externalLink" Target="externalLinks/externalLink415.xml"/><Relationship Id="rId652" Type="http://schemas.openxmlformats.org/officeDocument/2006/relationships/externalLink" Target="externalLinks/externalLink622.xml"/><Relationship Id="rId1075" Type="http://schemas.openxmlformats.org/officeDocument/2006/relationships/externalLink" Target="externalLinks/externalLink1045.xml"/><Relationship Id="rId291" Type="http://schemas.openxmlformats.org/officeDocument/2006/relationships/externalLink" Target="externalLinks/externalLink261.xml"/><Relationship Id="rId305" Type="http://schemas.openxmlformats.org/officeDocument/2006/relationships/externalLink" Target="externalLinks/externalLink275.xml"/><Relationship Id="rId512" Type="http://schemas.openxmlformats.org/officeDocument/2006/relationships/externalLink" Target="externalLinks/externalLink482.xml"/><Relationship Id="rId957" Type="http://schemas.openxmlformats.org/officeDocument/2006/relationships/externalLink" Target="externalLinks/externalLink927.xml"/><Relationship Id="rId1142" Type="http://schemas.openxmlformats.org/officeDocument/2006/relationships/externalLink" Target="externalLinks/externalLink1112.xml"/><Relationship Id="rId86" Type="http://schemas.openxmlformats.org/officeDocument/2006/relationships/externalLink" Target="externalLinks/externalLink56.xml"/><Relationship Id="rId151" Type="http://schemas.openxmlformats.org/officeDocument/2006/relationships/externalLink" Target="externalLinks/externalLink121.xml"/><Relationship Id="rId389" Type="http://schemas.openxmlformats.org/officeDocument/2006/relationships/externalLink" Target="externalLinks/externalLink359.xml"/><Relationship Id="rId596" Type="http://schemas.openxmlformats.org/officeDocument/2006/relationships/externalLink" Target="externalLinks/externalLink566.xml"/><Relationship Id="rId817" Type="http://schemas.openxmlformats.org/officeDocument/2006/relationships/externalLink" Target="externalLinks/externalLink787.xml"/><Relationship Id="rId1002" Type="http://schemas.openxmlformats.org/officeDocument/2006/relationships/externalLink" Target="externalLinks/externalLink972.xml"/><Relationship Id="rId249" Type="http://schemas.openxmlformats.org/officeDocument/2006/relationships/externalLink" Target="externalLinks/externalLink219.xml"/><Relationship Id="rId456" Type="http://schemas.openxmlformats.org/officeDocument/2006/relationships/externalLink" Target="externalLinks/externalLink426.xml"/><Relationship Id="rId663" Type="http://schemas.openxmlformats.org/officeDocument/2006/relationships/externalLink" Target="externalLinks/externalLink633.xml"/><Relationship Id="rId870" Type="http://schemas.openxmlformats.org/officeDocument/2006/relationships/externalLink" Target="externalLinks/externalLink840.xml"/><Relationship Id="rId1086" Type="http://schemas.openxmlformats.org/officeDocument/2006/relationships/externalLink" Target="externalLinks/externalLink1056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79.xml"/><Relationship Id="rId316" Type="http://schemas.openxmlformats.org/officeDocument/2006/relationships/externalLink" Target="externalLinks/externalLink286.xml"/><Relationship Id="rId523" Type="http://schemas.openxmlformats.org/officeDocument/2006/relationships/externalLink" Target="externalLinks/externalLink493.xml"/><Relationship Id="rId968" Type="http://schemas.openxmlformats.org/officeDocument/2006/relationships/externalLink" Target="externalLinks/externalLink938.xml"/><Relationship Id="rId1153" Type="http://schemas.openxmlformats.org/officeDocument/2006/relationships/externalLink" Target="externalLinks/externalLink1123.xml"/><Relationship Id="rId97" Type="http://schemas.openxmlformats.org/officeDocument/2006/relationships/externalLink" Target="externalLinks/externalLink67.xml"/><Relationship Id="rId730" Type="http://schemas.openxmlformats.org/officeDocument/2006/relationships/externalLink" Target="externalLinks/externalLink700.xml"/><Relationship Id="rId828" Type="http://schemas.openxmlformats.org/officeDocument/2006/relationships/externalLink" Target="externalLinks/externalLink798.xml"/><Relationship Id="rId1013" Type="http://schemas.openxmlformats.org/officeDocument/2006/relationships/externalLink" Target="externalLinks/externalLink983.xml"/><Relationship Id="rId162" Type="http://schemas.openxmlformats.org/officeDocument/2006/relationships/externalLink" Target="externalLinks/externalLink132.xml"/><Relationship Id="rId467" Type="http://schemas.openxmlformats.org/officeDocument/2006/relationships/externalLink" Target="externalLinks/externalLink437.xml"/><Relationship Id="rId1097" Type="http://schemas.openxmlformats.org/officeDocument/2006/relationships/externalLink" Target="externalLinks/externalLink1067.xml"/><Relationship Id="rId674" Type="http://schemas.openxmlformats.org/officeDocument/2006/relationships/externalLink" Target="externalLinks/externalLink644.xml"/><Relationship Id="rId881" Type="http://schemas.openxmlformats.org/officeDocument/2006/relationships/externalLink" Target="externalLinks/externalLink851.xml"/><Relationship Id="rId979" Type="http://schemas.openxmlformats.org/officeDocument/2006/relationships/externalLink" Target="externalLinks/externalLink949.xml"/><Relationship Id="rId24" Type="http://schemas.openxmlformats.org/officeDocument/2006/relationships/worksheet" Target="worksheets/sheet24.xml"/><Relationship Id="rId327" Type="http://schemas.openxmlformats.org/officeDocument/2006/relationships/externalLink" Target="externalLinks/externalLink297.xml"/><Relationship Id="rId534" Type="http://schemas.openxmlformats.org/officeDocument/2006/relationships/externalLink" Target="externalLinks/externalLink504.xml"/><Relationship Id="rId741" Type="http://schemas.openxmlformats.org/officeDocument/2006/relationships/externalLink" Target="externalLinks/externalLink711.xml"/><Relationship Id="rId839" Type="http://schemas.openxmlformats.org/officeDocument/2006/relationships/externalLink" Target="externalLinks/externalLink809.xml"/><Relationship Id="rId1164" Type="http://schemas.openxmlformats.org/officeDocument/2006/relationships/externalLink" Target="externalLinks/externalLink1134.xml"/><Relationship Id="rId173" Type="http://schemas.openxmlformats.org/officeDocument/2006/relationships/externalLink" Target="externalLinks/externalLink143.xml"/><Relationship Id="rId380" Type="http://schemas.openxmlformats.org/officeDocument/2006/relationships/externalLink" Target="externalLinks/externalLink350.xml"/><Relationship Id="rId601" Type="http://schemas.openxmlformats.org/officeDocument/2006/relationships/externalLink" Target="externalLinks/externalLink571.xml"/><Relationship Id="rId1024" Type="http://schemas.openxmlformats.org/officeDocument/2006/relationships/externalLink" Target="externalLinks/externalLink994.xml"/><Relationship Id="rId240" Type="http://schemas.openxmlformats.org/officeDocument/2006/relationships/externalLink" Target="externalLinks/externalLink210.xml"/><Relationship Id="rId478" Type="http://schemas.openxmlformats.org/officeDocument/2006/relationships/externalLink" Target="externalLinks/externalLink448.xml"/><Relationship Id="rId685" Type="http://schemas.openxmlformats.org/officeDocument/2006/relationships/externalLink" Target="externalLinks/externalLink655.xml"/><Relationship Id="rId892" Type="http://schemas.openxmlformats.org/officeDocument/2006/relationships/externalLink" Target="externalLinks/externalLink862.xml"/><Relationship Id="rId906" Type="http://schemas.openxmlformats.org/officeDocument/2006/relationships/externalLink" Target="externalLinks/externalLink876.xml"/><Relationship Id="rId35" Type="http://schemas.openxmlformats.org/officeDocument/2006/relationships/externalLink" Target="externalLinks/externalLink5.xml"/><Relationship Id="rId100" Type="http://schemas.openxmlformats.org/officeDocument/2006/relationships/externalLink" Target="externalLinks/externalLink70.xml"/><Relationship Id="rId338" Type="http://schemas.openxmlformats.org/officeDocument/2006/relationships/externalLink" Target="externalLinks/externalLink308.xml"/><Relationship Id="rId545" Type="http://schemas.openxmlformats.org/officeDocument/2006/relationships/externalLink" Target="externalLinks/externalLink515.xml"/><Relationship Id="rId752" Type="http://schemas.openxmlformats.org/officeDocument/2006/relationships/externalLink" Target="externalLinks/externalLink722.xml"/><Relationship Id="rId1175" Type="http://schemas.openxmlformats.org/officeDocument/2006/relationships/externalLink" Target="externalLinks/externalLink1145.xml"/><Relationship Id="rId184" Type="http://schemas.openxmlformats.org/officeDocument/2006/relationships/externalLink" Target="externalLinks/externalLink154.xml"/><Relationship Id="rId391" Type="http://schemas.openxmlformats.org/officeDocument/2006/relationships/externalLink" Target="externalLinks/externalLink361.xml"/><Relationship Id="rId405" Type="http://schemas.openxmlformats.org/officeDocument/2006/relationships/externalLink" Target="externalLinks/externalLink375.xml"/><Relationship Id="rId612" Type="http://schemas.openxmlformats.org/officeDocument/2006/relationships/externalLink" Target="externalLinks/externalLink582.xml"/><Relationship Id="rId1035" Type="http://schemas.openxmlformats.org/officeDocument/2006/relationships/externalLink" Target="externalLinks/externalLink1005.xml"/><Relationship Id="rId251" Type="http://schemas.openxmlformats.org/officeDocument/2006/relationships/externalLink" Target="externalLinks/externalLink221.xml"/><Relationship Id="rId489" Type="http://schemas.openxmlformats.org/officeDocument/2006/relationships/externalLink" Target="externalLinks/externalLink459.xml"/><Relationship Id="rId696" Type="http://schemas.openxmlformats.org/officeDocument/2006/relationships/externalLink" Target="externalLinks/externalLink666.xml"/><Relationship Id="rId917" Type="http://schemas.openxmlformats.org/officeDocument/2006/relationships/externalLink" Target="externalLinks/externalLink887.xml"/><Relationship Id="rId1102" Type="http://schemas.openxmlformats.org/officeDocument/2006/relationships/externalLink" Target="externalLinks/externalLink1072.xml"/><Relationship Id="rId46" Type="http://schemas.openxmlformats.org/officeDocument/2006/relationships/externalLink" Target="externalLinks/externalLink16.xml"/><Relationship Id="rId349" Type="http://schemas.openxmlformats.org/officeDocument/2006/relationships/externalLink" Target="externalLinks/externalLink319.xml"/><Relationship Id="rId556" Type="http://schemas.openxmlformats.org/officeDocument/2006/relationships/externalLink" Target="externalLinks/externalLink526.xml"/><Relationship Id="rId763" Type="http://schemas.openxmlformats.org/officeDocument/2006/relationships/externalLink" Target="externalLinks/externalLink733.xml"/><Relationship Id="rId1186" Type="http://schemas.openxmlformats.org/officeDocument/2006/relationships/externalLink" Target="externalLinks/externalLink1156.xml"/><Relationship Id="rId111" Type="http://schemas.openxmlformats.org/officeDocument/2006/relationships/externalLink" Target="externalLinks/externalLink81.xml"/><Relationship Id="rId195" Type="http://schemas.openxmlformats.org/officeDocument/2006/relationships/externalLink" Target="externalLinks/externalLink165.xml"/><Relationship Id="rId209" Type="http://schemas.openxmlformats.org/officeDocument/2006/relationships/externalLink" Target="externalLinks/externalLink179.xml"/><Relationship Id="rId416" Type="http://schemas.openxmlformats.org/officeDocument/2006/relationships/externalLink" Target="externalLinks/externalLink386.xml"/><Relationship Id="rId970" Type="http://schemas.openxmlformats.org/officeDocument/2006/relationships/externalLink" Target="externalLinks/externalLink940.xml"/><Relationship Id="rId1046" Type="http://schemas.openxmlformats.org/officeDocument/2006/relationships/externalLink" Target="externalLinks/externalLink1016.xml"/><Relationship Id="rId623" Type="http://schemas.openxmlformats.org/officeDocument/2006/relationships/externalLink" Target="externalLinks/externalLink593.xml"/><Relationship Id="rId830" Type="http://schemas.openxmlformats.org/officeDocument/2006/relationships/externalLink" Target="externalLinks/externalLink800.xml"/><Relationship Id="rId928" Type="http://schemas.openxmlformats.org/officeDocument/2006/relationships/externalLink" Target="externalLinks/externalLink898.xml"/><Relationship Id="rId57" Type="http://schemas.openxmlformats.org/officeDocument/2006/relationships/externalLink" Target="externalLinks/externalLink27.xml"/><Relationship Id="rId262" Type="http://schemas.openxmlformats.org/officeDocument/2006/relationships/externalLink" Target="externalLinks/externalLink232.xml"/><Relationship Id="rId567" Type="http://schemas.openxmlformats.org/officeDocument/2006/relationships/externalLink" Target="externalLinks/externalLink537.xml"/><Relationship Id="rId1113" Type="http://schemas.openxmlformats.org/officeDocument/2006/relationships/externalLink" Target="externalLinks/externalLink1083.xml"/><Relationship Id="rId1197" Type="http://schemas.openxmlformats.org/officeDocument/2006/relationships/theme" Target="theme/theme1.xml"/><Relationship Id="rId122" Type="http://schemas.openxmlformats.org/officeDocument/2006/relationships/externalLink" Target="externalLinks/externalLink92.xml"/><Relationship Id="rId774" Type="http://schemas.openxmlformats.org/officeDocument/2006/relationships/externalLink" Target="externalLinks/externalLink744.xml"/><Relationship Id="rId981" Type="http://schemas.openxmlformats.org/officeDocument/2006/relationships/externalLink" Target="externalLinks/externalLink951.xml"/><Relationship Id="rId1057" Type="http://schemas.openxmlformats.org/officeDocument/2006/relationships/externalLink" Target="externalLinks/externalLink1027.xml"/><Relationship Id="rId427" Type="http://schemas.openxmlformats.org/officeDocument/2006/relationships/externalLink" Target="externalLinks/externalLink397.xml"/><Relationship Id="rId634" Type="http://schemas.openxmlformats.org/officeDocument/2006/relationships/externalLink" Target="externalLinks/externalLink604.xml"/><Relationship Id="rId841" Type="http://schemas.openxmlformats.org/officeDocument/2006/relationships/externalLink" Target="externalLinks/externalLink811.xml"/><Relationship Id="rId273" Type="http://schemas.openxmlformats.org/officeDocument/2006/relationships/externalLink" Target="externalLinks/externalLink243.xml"/><Relationship Id="rId480" Type="http://schemas.openxmlformats.org/officeDocument/2006/relationships/externalLink" Target="externalLinks/externalLink450.xml"/><Relationship Id="rId701" Type="http://schemas.openxmlformats.org/officeDocument/2006/relationships/externalLink" Target="externalLinks/externalLink671.xml"/><Relationship Id="rId939" Type="http://schemas.openxmlformats.org/officeDocument/2006/relationships/externalLink" Target="externalLinks/externalLink909.xml"/><Relationship Id="rId1124" Type="http://schemas.openxmlformats.org/officeDocument/2006/relationships/externalLink" Target="externalLinks/externalLink1094.xml"/><Relationship Id="rId68" Type="http://schemas.openxmlformats.org/officeDocument/2006/relationships/externalLink" Target="externalLinks/externalLink38.xml"/><Relationship Id="rId133" Type="http://schemas.openxmlformats.org/officeDocument/2006/relationships/externalLink" Target="externalLinks/externalLink103.xml"/><Relationship Id="rId340" Type="http://schemas.openxmlformats.org/officeDocument/2006/relationships/externalLink" Target="externalLinks/externalLink310.xml"/><Relationship Id="rId578" Type="http://schemas.openxmlformats.org/officeDocument/2006/relationships/externalLink" Target="externalLinks/externalLink548.xml"/><Relationship Id="rId785" Type="http://schemas.openxmlformats.org/officeDocument/2006/relationships/externalLink" Target="externalLinks/externalLink755.xml"/><Relationship Id="rId992" Type="http://schemas.openxmlformats.org/officeDocument/2006/relationships/externalLink" Target="externalLinks/externalLink962.xml"/><Relationship Id="rId200" Type="http://schemas.openxmlformats.org/officeDocument/2006/relationships/externalLink" Target="externalLinks/externalLink170.xml"/><Relationship Id="rId438" Type="http://schemas.openxmlformats.org/officeDocument/2006/relationships/externalLink" Target="externalLinks/externalLink408.xml"/><Relationship Id="rId645" Type="http://schemas.openxmlformats.org/officeDocument/2006/relationships/externalLink" Target="externalLinks/externalLink615.xml"/><Relationship Id="rId852" Type="http://schemas.openxmlformats.org/officeDocument/2006/relationships/externalLink" Target="externalLinks/externalLink822.xml"/><Relationship Id="rId1068" Type="http://schemas.openxmlformats.org/officeDocument/2006/relationships/externalLink" Target="externalLinks/externalLink1038.xml"/><Relationship Id="rId284" Type="http://schemas.openxmlformats.org/officeDocument/2006/relationships/externalLink" Target="externalLinks/externalLink254.xml"/><Relationship Id="rId491" Type="http://schemas.openxmlformats.org/officeDocument/2006/relationships/externalLink" Target="externalLinks/externalLink461.xml"/><Relationship Id="rId505" Type="http://schemas.openxmlformats.org/officeDocument/2006/relationships/externalLink" Target="externalLinks/externalLink475.xml"/><Relationship Id="rId712" Type="http://schemas.openxmlformats.org/officeDocument/2006/relationships/externalLink" Target="externalLinks/externalLink682.xml"/><Relationship Id="rId1135" Type="http://schemas.openxmlformats.org/officeDocument/2006/relationships/externalLink" Target="externalLinks/externalLink1105.xml"/><Relationship Id="rId79" Type="http://schemas.openxmlformats.org/officeDocument/2006/relationships/externalLink" Target="externalLinks/externalLink49.xml"/><Relationship Id="rId144" Type="http://schemas.openxmlformats.org/officeDocument/2006/relationships/externalLink" Target="externalLinks/externalLink114.xml"/><Relationship Id="rId589" Type="http://schemas.openxmlformats.org/officeDocument/2006/relationships/externalLink" Target="externalLinks/externalLink559.xml"/><Relationship Id="rId796" Type="http://schemas.openxmlformats.org/officeDocument/2006/relationships/externalLink" Target="externalLinks/externalLink766.xml"/><Relationship Id="rId1202" Type="http://schemas.openxmlformats.org/officeDocument/2006/relationships/customXml" Target="../customXml/item2.xml"/><Relationship Id="rId351" Type="http://schemas.openxmlformats.org/officeDocument/2006/relationships/externalLink" Target="externalLinks/externalLink321.xml"/><Relationship Id="rId449" Type="http://schemas.openxmlformats.org/officeDocument/2006/relationships/externalLink" Target="externalLinks/externalLink419.xml"/><Relationship Id="rId656" Type="http://schemas.openxmlformats.org/officeDocument/2006/relationships/externalLink" Target="externalLinks/externalLink626.xml"/><Relationship Id="rId863" Type="http://schemas.openxmlformats.org/officeDocument/2006/relationships/externalLink" Target="externalLinks/externalLink833.xml"/><Relationship Id="rId1079" Type="http://schemas.openxmlformats.org/officeDocument/2006/relationships/externalLink" Target="externalLinks/externalLink1049.xml"/><Relationship Id="rId211" Type="http://schemas.openxmlformats.org/officeDocument/2006/relationships/externalLink" Target="externalLinks/externalLink181.xml"/><Relationship Id="rId295" Type="http://schemas.openxmlformats.org/officeDocument/2006/relationships/externalLink" Target="externalLinks/externalLink265.xml"/><Relationship Id="rId309" Type="http://schemas.openxmlformats.org/officeDocument/2006/relationships/externalLink" Target="externalLinks/externalLink279.xml"/><Relationship Id="rId516" Type="http://schemas.openxmlformats.org/officeDocument/2006/relationships/externalLink" Target="externalLinks/externalLink486.xml"/><Relationship Id="rId1146" Type="http://schemas.openxmlformats.org/officeDocument/2006/relationships/externalLink" Target="externalLinks/externalLink1116.xml"/><Relationship Id="rId723" Type="http://schemas.openxmlformats.org/officeDocument/2006/relationships/externalLink" Target="externalLinks/externalLink693.xml"/><Relationship Id="rId930" Type="http://schemas.openxmlformats.org/officeDocument/2006/relationships/externalLink" Target="externalLinks/externalLink900.xml"/><Relationship Id="rId1006" Type="http://schemas.openxmlformats.org/officeDocument/2006/relationships/externalLink" Target="externalLinks/externalLink976.xml"/><Relationship Id="rId155" Type="http://schemas.openxmlformats.org/officeDocument/2006/relationships/externalLink" Target="externalLinks/externalLink125.xml"/><Relationship Id="rId362" Type="http://schemas.openxmlformats.org/officeDocument/2006/relationships/externalLink" Target="externalLinks/externalLink332.xml"/><Relationship Id="rId222" Type="http://schemas.openxmlformats.org/officeDocument/2006/relationships/externalLink" Target="externalLinks/externalLink192.xml"/><Relationship Id="rId667" Type="http://schemas.openxmlformats.org/officeDocument/2006/relationships/externalLink" Target="externalLinks/externalLink637.xml"/><Relationship Id="rId874" Type="http://schemas.openxmlformats.org/officeDocument/2006/relationships/externalLink" Target="externalLinks/externalLink844.xml"/><Relationship Id="rId17" Type="http://schemas.openxmlformats.org/officeDocument/2006/relationships/worksheet" Target="worksheets/sheet17.xml"/><Relationship Id="rId527" Type="http://schemas.openxmlformats.org/officeDocument/2006/relationships/externalLink" Target="externalLinks/externalLink497.xml"/><Relationship Id="rId734" Type="http://schemas.openxmlformats.org/officeDocument/2006/relationships/externalLink" Target="externalLinks/externalLink704.xml"/><Relationship Id="rId941" Type="http://schemas.openxmlformats.org/officeDocument/2006/relationships/externalLink" Target="externalLinks/externalLink911.xml"/><Relationship Id="rId1157" Type="http://schemas.openxmlformats.org/officeDocument/2006/relationships/externalLink" Target="externalLinks/externalLink1127.xml"/><Relationship Id="rId70" Type="http://schemas.openxmlformats.org/officeDocument/2006/relationships/externalLink" Target="externalLinks/externalLink40.xml"/><Relationship Id="rId166" Type="http://schemas.openxmlformats.org/officeDocument/2006/relationships/externalLink" Target="externalLinks/externalLink136.xml"/><Relationship Id="rId373" Type="http://schemas.openxmlformats.org/officeDocument/2006/relationships/externalLink" Target="externalLinks/externalLink343.xml"/><Relationship Id="rId580" Type="http://schemas.openxmlformats.org/officeDocument/2006/relationships/externalLink" Target="externalLinks/externalLink550.xml"/><Relationship Id="rId801" Type="http://schemas.openxmlformats.org/officeDocument/2006/relationships/externalLink" Target="externalLinks/externalLink771.xml"/><Relationship Id="rId1017" Type="http://schemas.openxmlformats.org/officeDocument/2006/relationships/externalLink" Target="externalLinks/externalLink987.xml"/><Relationship Id="rId1" Type="http://schemas.openxmlformats.org/officeDocument/2006/relationships/worksheet" Target="worksheets/sheet1.xml"/><Relationship Id="rId233" Type="http://schemas.openxmlformats.org/officeDocument/2006/relationships/externalLink" Target="externalLinks/externalLink203.xml"/><Relationship Id="rId440" Type="http://schemas.openxmlformats.org/officeDocument/2006/relationships/externalLink" Target="externalLinks/externalLink410.xml"/><Relationship Id="rId678" Type="http://schemas.openxmlformats.org/officeDocument/2006/relationships/externalLink" Target="externalLinks/externalLink648.xml"/><Relationship Id="rId885" Type="http://schemas.openxmlformats.org/officeDocument/2006/relationships/externalLink" Target="externalLinks/externalLink855.xml"/><Relationship Id="rId1070" Type="http://schemas.openxmlformats.org/officeDocument/2006/relationships/externalLink" Target="externalLinks/externalLink1040.xml"/><Relationship Id="rId28" Type="http://schemas.openxmlformats.org/officeDocument/2006/relationships/worksheet" Target="worksheets/sheet28.xml"/><Relationship Id="rId300" Type="http://schemas.openxmlformats.org/officeDocument/2006/relationships/externalLink" Target="externalLinks/externalLink270.xml"/><Relationship Id="rId538" Type="http://schemas.openxmlformats.org/officeDocument/2006/relationships/externalLink" Target="externalLinks/externalLink508.xml"/><Relationship Id="rId745" Type="http://schemas.openxmlformats.org/officeDocument/2006/relationships/externalLink" Target="externalLinks/externalLink715.xml"/><Relationship Id="rId952" Type="http://schemas.openxmlformats.org/officeDocument/2006/relationships/externalLink" Target="externalLinks/externalLink922.xml"/><Relationship Id="rId1168" Type="http://schemas.openxmlformats.org/officeDocument/2006/relationships/externalLink" Target="externalLinks/externalLink1138.xml"/><Relationship Id="rId81" Type="http://schemas.openxmlformats.org/officeDocument/2006/relationships/externalLink" Target="externalLinks/externalLink51.xml"/><Relationship Id="rId177" Type="http://schemas.openxmlformats.org/officeDocument/2006/relationships/externalLink" Target="externalLinks/externalLink147.xml"/><Relationship Id="rId384" Type="http://schemas.openxmlformats.org/officeDocument/2006/relationships/externalLink" Target="externalLinks/externalLink354.xml"/><Relationship Id="rId591" Type="http://schemas.openxmlformats.org/officeDocument/2006/relationships/externalLink" Target="externalLinks/externalLink561.xml"/><Relationship Id="rId605" Type="http://schemas.openxmlformats.org/officeDocument/2006/relationships/externalLink" Target="externalLinks/externalLink575.xml"/><Relationship Id="rId812" Type="http://schemas.openxmlformats.org/officeDocument/2006/relationships/externalLink" Target="externalLinks/externalLink782.xml"/><Relationship Id="rId1028" Type="http://schemas.openxmlformats.org/officeDocument/2006/relationships/externalLink" Target="externalLinks/externalLink998.xml"/><Relationship Id="rId244" Type="http://schemas.openxmlformats.org/officeDocument/2006/relationships/externalLink" Target="externalLinks/externalLink214.xml"/><Relationship Id="rId689" Type="http://schemas.openxmlformats.org/officeDocument/2006/relationships/externalLink" Target="externalLinks/externalLink659.xml"/><Relationship Id="rId896" Type="http://schemas.openxmlformats.org/officeDocument/2006/relationships/externalLink" Target="externalLinks/externalLink866.xml"/><Relationship Id="rId1081" Type="http://schemas.openxmlformats.org/officeDocument/2006/relationships/externalLink" Target="externalLinks/externalLink1051.xml"/><Relationship Id="rId39" Type="http://schemas.openxmlformats.org/officeDocument/2006/relationships/externalLink" Target="externalLinks/externalLink9.xml"/><Relationship Id="rId451" Type="http://schemas.openxmlformats.org/officeDocument/2006/relationships/externalLink" Target="externalLinks/externalLink421.xml"/><Relationship Id="rId549" Type="http://schemas.openxmlformats.org/officeDocument/2006/relationships/externalLink" Target="externalLinks/externalLink519.xml"/><Relationship Id="rId756" Type="http://schemas.openxmlformats.org/officeDocument/2006/relationships/externalLink" Target="externalLinks/externalLink726.xml"/><Relationship Id="rId1179" Type="http://schemas.openxmlformats.org/officeDocument/2006/relationships/externalLink" Target="externalLinks/externalLink1149.xml"/><Relationship Id="rId104" Type="http://schemas.openxmlformats.org/officeDocument/2006/relationships/externalLink" Target="externalLinks/externalLink74.xml"/><Relationship Id="rId188" Type="http://schemas.openxmlformats.org/officeDocument/2006/relationships/externalLink" Target="externalLinks/externalLink158.xml"/><Relationship Id="rId311" Type="http://schemas.openxmlformats.org/officeDocument/2006/relationships/externalLink" Target="externalLinks/externalLink281.xml"/><Relationship Id="rId395" Type="http://schemas.openxmlformats.org/officeDocument/2006/relationships/externalLink" Target="externalLinks/externalLink365.xml"/><Relationship Id="rId409" Type="http://schemas.openxmlformats.org/officeDocument/2006/relationships/externalLink" Target="externalLinks/externalLink379.xml"/><Relationship Id="rId963" Type="http://schemas.openxmlformats.org/officeDocument/2006/relationships/externalLink" Target="externalLinks/externalLink933.xml"/><Relationship Id="rId1039" Type="http://schemas.openxmlformats.org/officeDocument/2006/relationships/externalLink" Target="externalLinks/externalLink1009.xml"/><Relationship Id="rId92" Type="http://schemas.openxmlformats.org/officeDocument/2006/relationships/externalLink" Target="externalLinks/externalLink62.xml"/><Relationship Id="rId616" Type="http://schemas.openxmlformats.org/officeDocument/2006/relationships/externalLink" Target="externalLinks/externalLink586.xml"/><Relationship Id="rId823" Type="http://schemas.openxmlformats.org/officeDocument/2006/relationships/externalLink" Target="externalLinks/externalLink793.xml"/><Relationship Id="rId255" Type="http://schemas.openxmlformats.org/officeDocument/2006/relationships/externalLink" Target="externalLinks/externalLink225.xml"/><Relationship Id="rId462" Type="http://schemas.openxmlformats.org/officeDocument/2006/relationships/externalLink" Target="externalLinks/externalLink432.xml"/><Relationship Id="rId1092" Type="http://schemas.openxmlformats.org/officeDocument/2006/relationships/externalLink" Target="externalLinks/externalLink1062.xml"/><Relationship Id="rId1106" Type="http://schemas.openxmlformats.org/officeDocument/2006/relationships/externalLink" Target="externalLinks/externalLink1076.xml"/><Relationship Id="rId115" Type="http://schemas.openxmlformats.org/officeDocument/2006/relationships/externalLink" Target="externalLinks/externalLink85.xml"/><Relationship Id="rId322" Type="http://schemas.openxmlformats.org/officeDocument/2006/relationships/externalLink" Target="externalLinks/externalLink292.xml"/><Relationship Id="rId767" Type="http://schemas.openxmlformats.org/officeDocument/2006/relationships/externalLink" Target="externalLinks/externalLink737.xml"/><Relationship Id="rId974" Type="http://schemas.openxmlformats.org/officeDocument/2006/relationships/externalLink" Target="externalLinks/externalLink944.xml"/><Relationship Id="rId199" Type="http://schemas.openxmlformats.org/officeDocument/2006/relationships/externalLink" Target="externalLinks/externalLink169.xml"/><Relationship Id="rId627" Type="http://schemas.openxmlformats.org/officeDocument/2006/relationships/externalLink" Target="externalLinks/externalLink597.xml"/><Relationship Id="rId834" Type="http://schemas.openxmlformats.org/officeDocument/2006/relationships/externalLink" Target="externalLinks/externalLink804.xml"/><Relationship Id="rId266" Type="http://schemas.openxmlformats.org/officeDocument/2006/relationships/externalLink" Target="externalLinks/externalLink236.xml"/><Relationship Id="rId473" Type="http://schemas.openxmlformats.org/officeDocument/2006/relationships/externalLink" Target="externalLinks/externalLink443.xml"/><Relationship Id="rId680" Type="http://schemas.openxmlformats.org/officeDocument/2006/relationships/externalLink" Target="externalLinks/externalLink650.xml"/><Relationship Id="rId901" Type="http://schemas.openxmlformats.org/officeDocument/2006/relationships/externalLink" Target="externalLinks/externalLink871.xml"/><Relationship Id="rId1117" Type="http://schemas.openxmlformats.org/officeDocument/2006/relationships/externalLink" Target="externalLinks/externalLink1087.xml"/><Relationship Id="rId30" Type="http://schemas.openxmlformats.org/officeDocument/2006/relationships/worksheet" Target="worksheets/sheet30.xml"/><Relationship Id="rId126" Type="http://schemas.openxmlformats.org/officeDocument/2006/relationships/externalLink" Target="externalLinks/externalLink96.xml"/><Relationship Id="rId333" Type="http://schemas.openxmlformats.org/officeDocument/2006/relationships/externalLink" Target="externalLinks/externalLink303.xml"/><Relationship Id="rId540" Type="http://schemas.openxmlformats.org/officeDocument/2006/relationships/externalLink" Target="externalLinks/externalLink510.xml"/><Relationship Id="rId778" Type="http://schemas.openxmlformats.org/officeDocument/2006/relationships/externalLink" Target="externalLinks/externalLink748.xml"/><Relationship Id="rId985" Type="http://schemas.openxmlformats.org/officeDocument/2006/relationships/externalLink" Target="externalLinks/externalLink955.xml"/><Relationship Id="rId1170" Type="http://schemas.openxmlformats.org/officeDocument/2006/relationships/externalLink" Target="externalLinks/externalLink1140.xml"/><Relationship Id="rId638" Type="http://schemas.openxmlformats.org/officeDocument/2006/relationships/externalLink" Target="externalLinks/externalLink608.xml"/><Relationship Id="rId845" Type="http://schemas.openxmlformats.org/officeDocument/2006/relationships/externalLink" Target="externalLinks/externalLink815.xml"/><Relationship Id="rId1030" Type="http://schemas.openxmlformats.org/officeDocument/2006/relationships/externalLink" Target="externalLinks/externalLink1000.xml"/><Relationship Id="rId277" Type="http://schemas.openxmlformats.org/officeDocument/2006/relationships/externalLink" Target="externalLinks/externalLink247.xml"/><Relationship Id="rId400" Type="http://schemas.openxmlformats.org/officeDocument/2006/relationships/externalLink" Target="externalLinks/externalLink370.xml"/><Relationship Id="rId484" Type="http://schemas.openxmlformats.org/officeDocument/2006/relationships/externalLink" Target="externalLinks/externalLink454.xml"/><Relationship Id="rId705" Type="http://schemas.openxmlformats.org/officeDocument/2006/relationships/externalLink" Target="externalLinks/externalLink675.xml"/><Relationship Id="rId1128" Type="http://schemas.openxmlformats.org/officeDocument/2006/relationships/externalLink" Target="externalLinks/externalLink1098.xml"/><Relationship Id="rId137" Type="http://schemas.openxmlformats.org/officeDocument/2006/relationships/externalLink" Target="externalLinks/externalLink107.xml"/><Relationship Id="rId344" Type="http://schemas.openxmlformats.org/officeDocument/2006/relationships/externalLink" Target="externalLinks/externalLink314.xml"/><Relationship Id="rId691" Type="http://schemas.openxmlformats.org/officeDocument/2006/relationships/externalLink" Target="externalLinks/externalLink661.xml"/><Relationship Id="rId789" Type="http://schemas.openxmlformats.org/officeDocument/2006/relationships/externalLink" Target="externalLinks/externalLink759.xml"/><Relationship Id="rId912" Type="http://schemas.openxmlformats.org/officeDocument/2006/relationships/externalLink" Target="externalLinks/externalLink882.xml"/><Relationship Id="rId996" Type="http://schemas.openxmlformats.org/officeDocument/2006/relationships/externalLink" Target="externalLinks/externalLink966.xml"/><Relationship Id="rId41" Type="http://schemas.openxmlformats.org/officeDocument/2006/relationships/externalLink" Target="externalLinks/externalLink11.xml"/><Relationship Id="rId551" Type="http://schemas.openxmlformats.org/officeDocument/2006/relationships/externalLink" Target="externalLinks/externalLink521.xml"/><Relationship Id="rId649" Type="http://schemas.openxmlformats.org/officeDocument/2006/relationships/externalLink" Target="externalLinks/externalLink619.xml"/><Relationship Id="rId856" Type="http://schemas.openxmlformats.org/officeDocument/2006/relationships/externalLink" Target="externalLinks/externalLink826.xml"/><Relationship Id="rId1181" Type="http://schemas.openxmlformats.org/officeDocument/2006/relationships/externalLink" Target="externalLinks/externalLink1151.xml"/><Relationship Id="rId190" Type="http://schemas.openxmlformats.org/officeDocument/2006/relationships/externalLink" Target="externalLinks/externalLink160.xml"/><Relationship Id="rId204" Type="http://schemas.openxmlformats.org/officeDocument/2006/relationships/externalLink" Target="externalLinks/externalLink174.xml"/><Relationship Id="rId288" Type="http://schemas.openxmlformats.org/officeDocument/2006/relationships/externalLink" Target="externalLinks/externalLink258.xml"/><Relationship Id="rId411" Type="http://schemas.openxmlformats.org/officeDocument/2006/relationships/externalLink" Target="externalLinks/externalLink381.xml"/><Relationship Id="rId509" Type="http://schemas.openxmlformats.org/officeDocument/2006/relationships/externalLink" Target="externalLinks/externalLink479.xml"/><Relationship Id="rId1041" Type="http://schemas.openxmlformats.org/officeDocument/2006/relationships/externalLink" Target="externalLinks/externalLink1011.xml"/><Relationship Id="rId1139" Type="http://schemas.openxmlformats.org/officeDocument/2006/relationships/externalLink" Target="externalLinks/externalLink1109.xml"/><Relationship Id="rId495" Type="http://schemas.openxmlformats.org/officeDocument/2006/relationships/externalLink" Target="externalLinks/externalLink465.xml"/><Relationship Id="rId716" Type="http://schemas.openxmlformats.org/officeDocument/2006/relationships/externalLink" Target="externalLinks/externalLink686.xml"/><Relationship Id="rId923" Type="http://schemas.openxmlformats.org/officeDocument/2006/relationships/externalLink" Target="externalLinks/externalLink893.xml"/><Relationship Id="rId52" Type="http://schemas.openxmlformats.org/officeDocument/2006/relationships/externalLink" Target="externalLinks/externalLink22.xml"/><Relationship Id="rId148" Type="http://schemas.openxmlformats.org/officeDocument/2006/relationships/externalLink" Target="externalLinks/externalLink118.xml"/><Relationship Id="rId355" Type="http://schemas.openxmlformats.org/officeDocument/2006/relationships/externalLink" Target="externalLinks/externalLink325.xml"/><Relationship Id="rId562" Type="http://schemas.openxmlformats.org/officeDocument/2006/relationships/externalLink" Target="externalLinks/externalLink532.xml"/><Relationship Id="rId1192" Type="http://schemas.openxmlformats.org/officeDocument/2006/relationships/externalLink" Target="externalLinks/externalLink1162.xml"/><Relationship Id="rId215" Type="http://schemas.openxmlformats.org/officeDocument/2006/relationships/externalLink" Target="externalLinks/externalLink185.xml"/><Relationship Id="rId422" Type="http://schemas.openxmlformats.org/officeDocument/2006/relationships/externalLink" Target="externalLinks/externalLink392.xml"/><Relationship Id="rId867" Type="http://schemas.openxmlformats.org/officeDocument/2006/relationships/externalLink" Target="externalLinks/externalLink837.xml"/><Relationship Id="rId1052" Type="http://schemas.openxmlformats.org/officeDocument/2006/relationships/externalLink" Target="externalLinks/externalLink1022.xml"/><Relationship Id="rId299" Type="http://schemas.openxmlformats.org/officeDocument/2006/relationships/externalLink" Target="externalLinks/externalLink269.xml"/><Relationship Id="rId727" Type="http://schemas.openxmlformats.org/officeDocument/2006/relationships/externalLink" Target="externalLinks/externalLink697.xml"/><Relationship Id="rId934" Type="http://schemas.openxmlformats.org/officeDocument/2006/relationships/externalLink" Target="externalLinks/externalLink904.xml"/><Relationship Id="rId63" Type="http://schemas.openxmlformats.org/officeDocument/2006/relationships/externalLink" Target="externalLinks/externalLink33.xml"/><Relationship Id="rId159" Type="http://schemas.openxmlformats.org/officeDocument/2006/relationships/externalLink" Target="externalLinks/externalLink129.xml"/><Relationship Id="rId366" Type="http://schemas.openxmlformats.org/officeDocument/2006/relationships/externalLink" Target="externalLinks/externalLink336.xml"/><Relationship Id="rId573" Type="http://schemas.openxmlformats.org/officeDocument/2006/relationships/externalLink" Target="externalLinks/externalLink543.xml"/><Relationship Id="rId780" Type="http://schemas.openxmlformats.org/officeDocument/2006/relationships/externalLink" Target="externalLinks/externalLink750.xml"/><Relationship Id="rId226" Type="http://schemas.openxmlformats.org/officeDocument/2006/relationships/externalLink" Target="externalLinks/externalLink196.xml"/><Relationship Id="rId433" Type="http://schemas.openxmlformats.org/officeDocument/2006/relationships/externalLink" Target="externalLinks/externalLink403.xml"/><Relationship Id="rId878" Type="http://schemas.openxmlformats.org/officeDocument/2006/relationships/externalLink" Target="externalLinks/externalLink848.xml"/><Relationship Id="rId1063" Type="http://schemas.openxmlformats.org/officeDocument/2006/relationships/externalLink" Target="externalLinks/externalLink1033.xml"/><Relationship Id="rId640" Type="http://schemas.openxmlformats.org/officeDocument/2006/relationships/externalLink" Target="externalLinks/externalLink610.xml"/><Relationship Id="rId738" Type="http://schemas.openxmlformats.org/officeDocument/2006/relationships/externalLink" Target="externalLinks/externalLink708.xml"/><Relationship Id="rId945" Type="http://schemas.openxmlformats.org/officeDocument/2006/relationships/externalLink" Target="externalLinks/externalLink915.xml"/><Relationship Id="rId74" Type="http://schemas.openxmlformats.org/officeDocument/2006/relationships/externalLink" Target="externalLinks/externalLink44.xml"/><Relationship Id="rId377" Type="http://schemas.openxmlformats.org/officeDocument/2006/relationships/externalLink" Target="externalLinks/externalLink347.xml"/><Relationship Id="rId500" Type="http://schemas.openxmlformats.org/officeDocument/2006/relationships/externalLink" Target="externalLinks/externalLink470.xml"/><Relationship Id="rId584" Type="http://schemas.openxmlformats.org/officeDocument/2006/relationships/externalLink" Target="externalLinks/externalLink554.xml"/><Relationship Id="rId805" Type="http://schemas.openxmlformats.org/officeDocument/2006/relationships/externalLink" Target="externalLinks/externalLink775.xml"/><Relationship Id="rId1130" Type="http://schemas.openxmlformats.org/officeDocument/2006/relationships/externalLink" Target="externalLinks/externalLink1100.xml"/><Relationship Id="rId5" Type="http://schemas.openxmlformats.org/officeDocument/2006/relationships/worksheet" Target="worksheets/sheet5.xml"/><Relationship Id="rId237" Type="http://schemas.openxmlformats.org/officeDocument/2006/relationships/externalLink" Target="externalLinks/externalLink207.xml"/><Relationship Id="rId791" Type="http://schemas.openxmlformats.org/officeDocument/2006/relationships/externalLink" Target="externalLinks/externalLink761.xml"/><Relationship Id="rId889" Type="http://schemas.openxmlformats.org/officeDocument/2006/relationships/externalLink" Target="externalLinks/externalLink859.xml"/><Relationship Id="rId1074" Type="http://schemas.openxmlformats.org/officeDocument/2006/relationships/externalLink" Target="externalLinks/externalLink1044.xml"/><Relationship Id="rId444" Type="http://schemas.openxmlformats.org/officeDocument/2006/relationships/externalLink" Target="externalLinks/externalLink414.xml"/><Relationship Id="rId651" Type="http://schemas.openxmlformats.org/officeDocument/2006/relationships/externalLink" Target="externalLinks/externalLink621.xml"/><Relationship Id="rId749" Type="http://schemas.openxmlformats.org/officeDocument/2006/relationships/externalLink" Target="externalLinks/externalLink719.xml"/><Relationship Id="rId290" Type="http://schemas.openxmlformats.org/officeDocument/2006/relationships/externalLink" Target="externalLinks/externalLink260.xml"/><Relationship Id="rId304" Type="http://schemas.openxmlformats.org/officeDocument/2006/relationships/externalLink" Target="externalLinks/externalLink274.xml"/><Relationship Id="rId388" Type="http://schemas.openxmlformats.org/officeDocument/2006/relationships/externalLink" Target="externalLinks/externalLink358.xml"/><Relationship Id="rId511" Type="http://schemas.openxmlformats.org/officeDocument/2006/relationships/externalLink" Target="externalLinks/externalLink481.xml"/><Relationship Id="rId609" Type="http://schemas.openxmlformats.org/officeDocument/2006/relationships/externalLink" Target="externalLinks/externalLink579.xml"/><Relationship Id="rId956" Type="http://schemas.openxmlformats.org/officeDocument/2006/relationships/externalLink" Target="externalLinks/externalLink926.xml"/><Relationship Id="rId1141" Type="http://schemas.openxmlformats.org/officeDocument/2006/relationships/externalLink" Target="externalLinks/externalLink1111.xml"/><Relationship Id="rId85" Type="http://schemas.openxmlformats.org/officeDocument/2006/relationships/externalLink" Target="externalLinks/externalLink55.xml"/><Relationship Id="rId150" Type="http://schemas.openxmlformats.org/officeDocument/2006/relationships/externalLink" Target="externalLinks/externalLink120.xml"/><Relationship Id="rId595" Type="http://schemas.openxmlformats.org/officeDocument/2006/relationships/externalLink" Target="externalLinks/externalLink565.xml"/><Relationship Id="rId816" Type="http://schemas.openxmlformats.org/officeDocument/2006/relationships/externalLink" Target="externalLinks/externalLink786.xml"/><Relationship Id="rId1001" Type="http://schemas.openxmlformats.org/officeDocument/2006/relationships/externalLink" Target="externalLinks/externalLink971.xml"/><Relationship Id="rId248" Type="http://schemas.openxmlformats.org/officeDocument/2006/relationships/externalLink" Target="externalLinks/externalLink218.xml"/><Relationship Id="rId455" Type="http://schemas.openxmlformats.org/officeDocument/2006/relationships/externalLink" Target="externalLinks/externalLink425.xml"/><Relationship Id="rId662" Type="http://schemas.openxmlformats.org/officeDocument/2006/relationships/externalLink" Target="externalLinks/externalLink632.xml"/><Relationship Id="rId1085" Type="http://schemas.openxmlformats.org/officeDocument/2006/relationships/externalLink" Target="externalLinks/externalLink1055.xml"/><Relationship Id="rId12" Type="http://schemas.openxmlformats.org/officeDocument/2006/relationships/worksheet" Target="worksheets/sheet12.xml"/><Relationship Id="rId108" Type="http://schemas.openxmlformats.org/officeDocument/2006/relationships/externalLink" Target="externalLinks/externalLink78.xml"/><Relationship Id="rId315" Type="http://schemas.openxmlformats.org/officeDocument/2006/relationships/externalLink" Target="externalLinks/externalLink285.xml"/><Relationship Id="rId522" Type="http://schemas.openxmlformats.org/officeDocument/2006/relationships/externalLink" Target="externalLinks/externalLink492.xml"/><Relationship Id="rId967" Type="http://schemas.openxmlformats.org/officeDocument/2006/relationships/externalLink" Target="externalLinks/externalLink937.xml"/><Relationship Id="rId1152" Type="http://schemas.openxmlformats.org/officeDocument/2006/relationships/externalLink" Target="externalLinks/externalLink1122.xml"/><Relationship Id="rId96" Type="http://schemas.openxmlformats.org/officeDocument/2006/relationships/externalLink" Target="externalLinks/externalLink66.xml"/><Relationship Id="rId161" Type="http://schemas.openxmlformats.org/officeDocument/2006/relationships/externalLink" Target="externalLinks/externalLink131.xml"/><Relationship Id="rId399" Type="http://schemas.openxmlformats.org/officeDocument/2006/relationships/externalLink" Target="externalLinks/externalLink369.xml"/><Relationship Id="rId827" Type="http://schemas.openxmlformats.org/officeDocument/2006/relationships/externalLink" Target="externalLinks/externalLink797.xml"/><Relationship Id="rId1012" Type="http://schemas.openxmlformats.org/officeDocument/2006/relationships/externalLink" Target="externalLinks/externalLink982.xml"/><Relationship Id="rId259" Type="http://schemas.openxmlformats.org/officeDocument/2006/relationships/externalLink" Target="externalLinks/externalLink229.xml"/><Relationship Id="rId466" Type="http://schemas.openxmlformats.org/officeDocument/2006/relationships/externalLink" Target="externalLinks/externalLink436.xml"/><Relationship Id="rId673" Type="http://schemas.openxmlformats.org/officeDocument/2006/relationships/externalLink" Target="externalLinks/externalLink643.xml"/><Relationship Id="rId880" Type="http://schemas.openxmlformats.org/officeDocument/2006/relationships/externalLink" Target="externalLinks/externalLink850.xml"/><Relationship Id="rId1096" Type="http://schemas.openxmlformats.org/officeDocument/2006/relationships/externalLink" Target="externalLinks/externalLink106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89.xml"/><Relationship Id="rId326" Type="http://schemas.openxmlformats.org/officeDocument/2006/relationships/externalLink" Target="externalLinks/externalLink296.xml"/><Relationship Id="rId533" Type="http://schemas.openxmlformats.org/officeDocument/2006/relationships/externalLink" Target="externalLinks/externalLink503.xml"/><Relationship Id="rId978" Type="http://schemas.openxmlformats.org/officeDocument/2006/relationships/externalLink" Target="externalLinks/externalLink948.xml"/><Relationship Id="rId1163" Type="http://schemas.openxmlformats.org/officeDocument/2006/relationships/externalLink" Target="externalLinks/externalLink1133.xml"/><Relationship Id="rId740" Type="http://schemas.openxmlformats.org/officeDocument/2006/relationships/externalLink" Target="externalLinks/externalLink710.xml"/><Relationship Id="rId838" Type="http://schemas.openxmlformats.org/officeDocument/2006/relationships/externalLink" Target="externalLinks/externalLink808.xml"/><Relationship Id="rId1023" Type="http://schemas.openxmlformats.org/officeDocument/2006/relationships/externalLink" Target="externalLinks/externalLink993.xml"/><Relationship Id="rId172" Type="http://schemas.openxmlformats.org/officeDocument/2006/relationships/externalLink" Target="externalLinks/externalLink142.xml"/><Relationship Id="rId477" Type="http://schemas.openxmlformats.org/officeDocument/2006/relationships/externalLink" Target="externalLinks/externalLink447.xml"/><Relationship Id="rId600" Type="http://schemas.openxmlformats.org/officeDocument/2006/relationships/externalLink" Target="externalLinks/externalLink570.xml"/><Relationship Id="rId684" Type="http://schemas.openxmlformats.org/officeDocument/2006/relationships/externalLink" Target="externalLinks/externalLink654.xml"/><Relationship Id="rId337" Type="http://schemas.openxmlformats.org/officeDocument/2006/relationships/externalLink" Target="externalLinks/externalLink307.xml"/><Relationship Id="rId891" Type="http://schemas.openxmlformats.org/officeDocument/2006/relationships/externalLink" Target="externalLinks/externalLink861.xml"/><Relationship Id="rId905" Type="http://schemas.openxmlformats.org/officeDocument/2006/relationships/externalLink" Target="externalLinks/externalLink875.xml"/><Relationship Id="rId989" Type="http://schemas.openxmlformats.org/officeDocument/2006/relationships/externalLink" Target="externalLinks/externalLink959.xml"/><Relationship Id="rId34" Type="http://schemas.openxmlformats.org/officeDocument/2006/relationships/externalLink" Target="externalLinks/externalLink4.xml"/><Relationship Id="rId544" Type="http://schemas.openxmlformats.org/officeDocument/2006/relationships/externalLink" Target="externalLinks/externalLink514.xml"/><Relationship Id="rId751" Type="http://schemas.openxmlformats.org/officeDocument/2006/relationships/externalLink" Target="externalLinks/externalLink721.xml"/><Relationship Id="rId849" Type="http://schemas.openxmlformats.org/officeDocument/2006/relationships/externalLink" Target="externalLinks/externalLink819.xml"/><Relationship Id="rId1174" Type="http://schemas.openxmlformats.org/officeDocument/2006/relationships/externalLink" Target="externalLinks/externalLink1144.xml"/><Relationship Id="rId183" Type="http://schemas.openxmlformats.org/officeDocument/2006/relationships/externalLink" Target="externalLinks/externalLink153.xml"/><Relationship Id="rId390" Type="http://schemas.openxmlformats.org/officeDocument/2006/relationships/externalLink" Target="externalLinks/externalLink360.xml"/><Relationship Id="rId404" Type="http://schemas.openxmlformats.org/officeDocument/2006/relationships/externalLink" Target="externalLinks/externalLink374.xml"/><Relationship Id="rId611" Type="http://schemas.openxmlformats.org/officeDocument/2006/relationships/externalLink" Target="externalLinks/externalLink581.xml"/><Relationship Id="rId1034" Type="http://schemas.openxmlformats.org/officeDocument/2006/relationships/externalLink" Target="externalLinks/externalLink1004.xml"/><Relationship Id="rId250" Type="http://schemas.openxmlformats.org/officeDocument/2006/relationships/externalLink" Target="externalLinks/externalLink220.xml"/><Relationship Id="rId488" Type="http://schemas.openxmlformats.org/officeDocument/2006/relationships/externalLink" Target="externalLinks/externalLink458.xml"/><Relationship Id="rId695" Type="http://schemas.openxmlformats.org/officeDocument/2006/relationships/externalLink" Target="externalLinks/externalLink665.xml"/><Relationship Id="rId709" Type="http://schemas.openxmlformats.org/officeDocument/2006/relationships/externalLink" Target="externalLinks/externalLink679.xml"/><Relationship Id="rId916" Type="http://schemas.openxmlformats.org/officeDocument/2006/relationships/externalLink" Target="externalLinks/externalLink886.xml"/><Relationship Id="rId1101" Type="http://schemas.openxmlformats.org/officeDocument/2006/relationships/externalLink" Target="externalLinks/externalLink1071.xml"/><Relationship Id="rId45" Type="http://schemas.openxmlformats.org/officeDocument/2006/relationships/externalLink" Target="externalLinks/externalLink15.xml"/><Relationship Id="rId110" Type="http://schemas.openxmlformats.org/officeDocument/2006/relationships/externalLink" Target="externalLinks/externalLink80.xml"/><Relationship Id="rId348" Type="http://schemas.openxmlformats.org/officeDocument/2006/relationships/externalLink" Target="externalLinks/externalLink318.xml"/><Relationship Id="rId555" Type="http://schemas.openxmlformats.org/officeDocument/2006/relationships/externalLink" Target="externalLinks/externalLink525.xml"/><Relationship Id="rId762" Type="http://schemas.openxmlformats.org/officeDocument/2006/relationships/externalLink" Target="externalLinks/externalLink732.xml"/><Relationship Id="rId1185" Type="http://schemas.openxmlformats.org/officeDocument/2006/relationships/externalLink" Target="externalLinks/externalLink1155.xml"/><Relationship Id="rId194" Type="http://schemas.openxmlformats.org/officeDocument/2006/relationships/externalLink" Target="externalLinks/externalLink164.xml"/><Relationship Id="rId208" Type="http://schemas.openxmlformats.org/officeDocument/2006/relationships/externalLink" Target="externalLinks/externalLink178.xml"/><Relationship Id="rId415" Type="http://schemas.openxmlformats.org/officeDocument/2006/relationships/externalLink" Target="externalLinks/externalLink385.xml"/><Relationship Id="rId622" Type="http://schemas.openxmlformats.org/officeDocument/2006/relationships/externalLink" Target="externalLinks/externalLink592.xml"/><Relationship Id="rId1045" Type="http://schemas.openxmlformats.org/officeDocument/2006/relationships/externalLink" Target="externalLinks/externalLink1015.xml"/><Relationship Id="rId261" Type="http://schemas.openxmlformats.org/officeDocument/2006/relationships/externalLink" Target="externalLinks/externalLink231.xml"/><Relationship Id="rId499" Type="http://schemas.openxmlformats.org/officeDocument/2006/relationships/externalLink" Target="externalLinks/externalLink469.xml"/><Relationship Id="rId927" Type="http://schemas.openxmlformats.org/officeDocument/2006/relationships/externalLink" Target="externalLinks/externalLink897.xml"/><Relationship Id="rId1112" Type="http://schemas.openxmlformats.org/officeDocument/2006/relationships/externalLink" Target="externalLinks/externalLink1082.xml"/><Relationship Id="rId56" Type="http://schemas.openxmlformats.org/officeDocument/2006/relationships/externalLink" Target="externalLinks/externalLink26.xml"/><Relationship Id="rId359" Type="http://schemas.openxmlformats.org/officeDocument/2006/relationships/externalLink" Target="externalLinks/externalLink329.xml"/><Relationship Id="rId566" Type="http://schemas.openxmlformats.org/officeDocument/2006/relationships/externalLink" Target="externalLinks/externalLink536.xml"/><Relationship Id="rId773" Type="http://schemas.openxmlformats.org/officeDocument/2006/relationships/externalLink" Target="externalLinks/externalLink743.xml"/><Relationship Id="rId1196" Type="http://schemas.openxmlformats.org/officeDocument/2006/relationships/externalLink" Target="externalLinks/externalLink1166.xml"/><Relationship Id="rId121" Type="http://schemas.openxmlformats.org/officeDocument/2006/relationships/externalLink" Target="externalLinks/externalLink91.xml"/><Relationship Id="rId219" Type="http://schemas.openxmlformats.org/officeDocument/2006/relationships/externalLink" Target="externalLinks/externalLink189.xml"/><Relationship Id="rId426" Type="http://schemas.openxmlformats.org/officeDocument/2006/relationships/externalLink" Target="externalLinks/externalLink396.xml"/><Relationship Id="rId633" Type="http://schemas.openxmlformats.org/officeDocument/2006/relationships/externalLink" Target="externalLinks/externalLink603.xml"/><Relationship Id="rId980" Type="http://schemas.openxmlformats.org/officeDocument/2006/relationships/externalLink" Target="externalLinks/externalLink950.xml"/><Relationship Id="rId1056" Type="http://schemas.openxmlformats.org/officeDocument/2006/relationships/externalLink" Target="externalLinks/externalLink1026.xml"/><Relationship Id="rId840" Type="http://schemas.openxmlformats.org/officeDocument/2006/relationships/externalLink" Target="externalLinks/externalLink810.xml"/><Relationship Id="rId938" Type="http://schemas.openxmlformats.org/officeDocument/2006/relationships/externalLink" Target="externalLinks/externalLink908.xml"/><Relationship Id="rId67" Type="http://schemas.openxmlformats.org/officeDocument/2006/relationships/externalLink" Target="externalLinks/externalLink37.xml"/><Relationship Id="rId272" Type="http://schemas.openxmlformats.org/officeDocument/2006/relationships/externalLink" Target="externalLinks/externalLink242.xml"/><Relationship Id="rId577" Type="http://schemas.openxmlformats.org/officeDocument/2006/relationships/externalLink" Target="externalLinks/externalLink547.xml"/><Relationship Id="rId700" Type="http://schemas.openxmlformats.org/officeDocument/2006/relationships/externalLink" Target="externalLinks/externalLink670.xml"/><Relationship Id="rId1123" Type="http://schemas.openxmlformats.org/officeDocument/2006/relationships/externalLink" Target="externalLinks/externalLink1093.xml"/><Relationship Id="rId132" Type="http://schemas.openxmlformats.org/officeDocument/2006/relationships/externalLink" Target="externalLinks/externalLink102.xml"/><Relationship Id="rId784" Type="http://schemas.openxmlformats.org/officeDocument/2006/relationships/externalLink" Target="externalLinks/externalLink754.xml"/><Relationship Id="rId991" Type="http://schemas.openxmlformats.org/officeDocument/2006/relationships/externalLink" Target="externalLinks/externalLink961.xml"/><Relationship Id="rId1067" Type="http://schemas.openxmlformats.org/officeDocument/2006/relationships/externalLink" Target="externalLinks/externalLink1037.xml"/><Relationship Id="rId437" Type="http://schemas.openxmlformats.org/officeDocument/2006/relationships/externalLink" Target="externalLinks/externalLink407.xml"/><Relationship Id="rId644" Type="http://schemas.openxmlformats.org/officeDocument/2006/relationships/externalLink" Target="externalLinks/externalLink614.xml"/><Relationship Id="rId851" Type="http://schemas.openxmlformats.org/officeDocument/2006/relationships/externalLink" Target="externalLinks/externalLink821.xml"/><Relationship Id="rId283" Type="http://schemas.openxmlformats.org/officeDocument/2006/relationships/externalLink" Target="externalLinks/externalLink253.xml"/><Relationship Id="rId490" Type="http://schemas.openxmlformats.org/officeDocument/2006/relationships/externalLink" Target="externalLinks/externalLink460.xml"/><Relationship Id="rId504" Type="http://schemas.openxmlformats.org/officeDocument/2006/relationships/externalLink" Target="externalLinks/externalLink474.xml"/><Relationship Id="rId711" Type="http://schemas.openxmlformats.org/officeDocument/2006/relationships/externalLink" Target="externalLinks/externalLink681.xml"/><Relationship Id="rId949" Type="http://schemas.openxmlformats.org/officeDocument/2006/relationships/externalLink" Target="externalLinks/externalLink919.xml"/><Relationship Id="rId1134" Type="http://schemas.openxmlformats.org/officeDocument/2006/relationships/externalLink" Target="externalLinks/externalLink1104.xml"/><Relationship Id="rId78" Type="http://schemas.openxmlformats.org/officeDocument/2006/relationships/externalLink" Target="externalLinks/externalLink48.xml"/><Relationship Id="rId143" Type="http://schemas.openxmlformats.org/officeDocument/2006/relationships/externalLink" Target="externalLinks/externalLink113.xml"/><Relationship Id="rId350" Type="http://schemas.openxmlformats.org/officeDocument/2006/relationships/externalLink" Target="externalLinks/externalLink320.xml"/><Relationship Id="rId588" Type="http://schemas.openxmlformats.org/officeDocument/2006/relationships/externalLink" Target="externalLinks/externalLink558.xml"/><Relationship Id="rId795" Type="http://schemas.openxmlformats.org/officeDocument/2006/relationships/externalLink" Target="externalLinks/externalLink765.xml"/><Relationship Id="rId809" Type="http://schemas.openxmlformats.org/officeDocument/2006/relationships/externalLink" Target="externalLinks/externalLink779.xml"/><Relationship Id="rId1201" Type="http://schemas.openxmlformats.org/officeDocument/2006/relationships/customXml" Target="../customXml/item1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80.xml"/><Relationship Id="rId448" Type="http://schemas.openxmlformats.org/officeDocument/2006/relationships/externalLink" Target="externalLinks/externalLink418.xml"/><Relationship Id="rId655" Type="http://schemas.openxmlformats.org/officeDocument/2006/relationships/externalLink" Target="externalLinks/externalLink625.xml"/><Relationship Id="rId862" Type="http://schemas.openxmlformats.org/officeDocument/2006/relationships/externalLink" Target="externalLinks/externalLink832.xml"/><Relationship Id="rId1078" Type="http://schemas.openxmlformats.org/officeDocument/2006/relationships/externalLink" Target="externalLinks/externalLink1048.xml"/><Relationship Id="rId294" Type="http://schemas.openxmlformats.org/officeDocument/2006/relationships/externalLink" Target="externalLinks/externalLink264.xml"/><Relationship Id="rId308" Type="http://schemas.openxmlformats.org/officeDocument/2006/relationships/externalLink" Target="externalLinks/externalLink278.xml"/><Relationship Id="rId515" Type="http://schemas.openxmlformats.org/officeDocument/2006/relationships/externalLink" Target="externalLinks/externalLink485.xml"/><Relationship Id="rId722" Type="http://schemas.openxmlformats.org/officeDocument/2006/relationships/externalLink" Target="externalLinks/externalLink692.xml"/><Relationship Id="rId1145" Type="http://schemas.openxmlformats.org/officeDocument/2006/relationships/externalLink" Target="externalLinks/externalLink1115.xml"/><Relationship Id="rId89" Type="http://schemas.openxmlformats.org/officeDocument/2006/relationships/externalLink" Target="externalLinks/externalLink59.xml"/><Relationship Id="rId154" Type="http://schemas.openxmlformats.org/officeDocument/2006/relationships/externalLink" Target="externalLinks/externalLink124.xml"/><Relationship Id="rId361" Type="http://schemas.openxmlformats.org/officeDocument/2006/relationships/externalLink" Target="externalLinks/externalLink331.xml"/><Relationship Id="rId599" Type="http://schemas.openxmlformats.org/officeDocument/2006/relationships/externalLink" Target="externalLinks/externalLink569.xml"/><Relationship Id="rId1005" Type="http://schemas.openxmlformats.org/officeDocument/2006/relationships/externalLink" Target="externalLinks/externalLink975.xml"/><Relationship Id="rId459" Type="http://schemas.openxmlformats.org/officeDocument/2006/relationships/externalLink" Target="externalLinks/externalLink429.xml"/><Relationship Id="rId666" Type="http://schemas.openxmlformats.org/officeDocument/2006/relationships/externalLink" Target="externalLinks/externalLink636.xml"/><Relationship Id="rId873" Type="http://schemas.openxmlformats.org/officeDocument/2006/relationships/externalLink" Target="externalLinks/externalLink843.xml"/><Relationship Id="rId1089" Type="http://schemas.openxmlformats.org/officeDocument/2006/relationships/externalLink" Target="externalLinks/externalLink1059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91.xml"/><Relationship Id="rId319" Type="http://schemas.openxmlformats.org/officeDocument/2006/relationships/externalLink" Target="externalLinks/externalLink289.xml"/><Relationship Id="rId526" Type="http://schemas.openxmlformats.org/officeDocument/2006/relationships/externalLink" Target="externalLinks/externalLink496.xml"/><Relationship Id="rId1156" Type="http://schemas.openxmlformats.org/officeDocument/2006/relationships/externalLink" Target="externalLinks/externalLink1126.xml"/><Relationship Id="rId733" Type="http://schemas.openxmlformats.org/officeDocument/2006/relationships/externalLink" Target="externalLinks/externalLink703.xml"/><Relationship Id="rId940" Type="http://schemas.openxmlformats.org/officeDocument/2006/relationships/externalLink" Target="externalLinks/externalLink910.xml"/><Relationship Id="rId1016" Type="http://schemas.openxmlformats.org/officeDocument/2006/relationships/externalLink" Target="externalLinks/externalLink986.xml"/><Relationship Id="rId165" Type="http://schemas.openxmlformats.org/officeDocument/2006/relationships/externalLink" Target="externalLinks/externalLink135.xml"/><Relationship Id="rId372" Type="http://schemas.openxmlformats.org/officeDocument/2006/relationships/externalLink" Target="externalLinks/externalLink342.xml"/><Relationship Id="rId677" Type="http://schemas.openxmlformats.org/officeDocument/2006/relationships/externalLink" Target="externalLinks/externalLink647.xml"/><Relationship Id="rId800" Type="http://schemas.openxmlformats.org/officeDocument/2006/relationships/externalLink" Target="externalLinks/externalLink770.xml"/><Relationship Id="rId232" Type="http://schemas.openxmlformats.org/officeDocument/2006/relationships/externalLink" Target="externalLinks/externalLink202.xml"/><Relationship Id="rId884" Type="http://schemas.openxmlformats.org/officeDocument/2006/relationships/externalLink" Target="externalLinks/externalLink854.xml"/><Relationship Id="rId27" Type="http://schemas.openxmlformats.org/officeDocument/2006/relationships/worksheet" Target="worksheets/sheet27.xml"/><Relationship Id="rId537" Type="http://schemas.openxmlformats.org/officeDocument/2006/relationships/externalLink" Target="externalLinks/externalLink507.xml"/><Relationship Id="rId744" Type="http://schemas.openxmlformats.org/officeDocument/2006/relationships/externalLink" Target="externalLinks/externalLink714.xml"/><Relationship Id="rId951" Type="http://schemas.openxmlformats.org/officeDocument/2006/relationships/externalLink" Target="externalLinks/externalLink921.xml"/><Relationship Id="rId1167" Type="http://schemas.openxmlformats.org/officeDocument/2006/relationships/externalLink" Target="externalLinks/externalLink1137.xml"/><Relationship Id="rId80" Type="http://schemas.openxmlformats.org/officeDocument/2006/relationships/externalLink" Target="externalLinks/externalLink50.xml"/><Relationship Id="rId176" Type="http://schemas.openxmlformats.org/officeDocument/2006/relationships/externalLink" Target="externalLinks/externalLink146.xml"/><Relationship Id="rId383" Type="http://schemas.openxmlformats.org/officeDocument/2006/relationships/externalLink" Target="externalLinks/externalLink353.xml"/><Relationship Id="rId590" Type="http://schemas.openxmlformats.org/officeDocument/2006/relationships/externalLink" Target="externalLinks/externalLink560.xml"/><Relationship Id="rId604" Type="http://schemas.openxmlformats.org/officeDocument/2006/relationships/externalLink" Target="externalLinks/externalLink574.xml"/><Relationship Id="rId811" Type="http://schemas.openxmlformats.org/officeDocument/2006/relationships/externalLink" Target="externalLinks/externalLink781.xml"/><Relationship Id="rId1027" Type="http://schemas.openxmlformats.org/officeDocument/2006/relationships/externalLink" Target="externalLinks/externalLink997.xml"/><Relationship Id="rId243" Type="http://schemas.openxmlformats.org/officeDocument/2006/relationships/externalLink" Target="externalLinks/externalLink213.xml"/><Relationship Id="rId450" Type="http://schemas.openxmlformats.org/officeDocument/2006/relationships/externalLink" Target="externalLinks/externalLink420.xml"/><Relationship Id="rId688" Type="http://schemas.openxmlformats.org/officeDocument/2006/relationships/externalLink" Target="externalLinks/externalLink658.xml"/><Relationship Id="rId895" Type="http://schemas.openxmlformats.org/officeDocument/2006/relationships/externalLink" Target="externalLinks/externalLink865.xml"/><Relationship Id="rId909" Type="http://schemas.openxmlformats.org/officeDocument/2006/relationships/externalLink" Target="externalLinks/externalLink879.xml"/><Relationship Id="rId1080" Type="http://schemas.openxmlformats.org/officeDocument/2006/relationships/externalLink" Target="externalLinks/externalLink1050.xml"/><Relationship Id="rId38" Type="http://schemas.openxmlformats.org/officeDocument/2006/relationships/externalLink" Target="externalLinks/externalLink8.xml"/><Relationship Id="rId103" Type="http://schemas.openxmlformats.org/officeDocument/2006/relationships/externalLink" Target="externalLinks/externalLink73.xml"/><Relationship Id="rId310" Type="http://schemas.openxmlformats.org/officeDocument/2006/relationships/externalLink" Target="externalLinks/externalLink280.xml"/><Relationship Id="rId548" Type="http://schemas.openxmlformats.org/officeDocument/2006/relationships/externalLink" Target="externalLinks/externalLink518.xml"/><Relationship Id="rId755" Type="http://schemas.openxmlformats.org/officeDocument/2006/relationships/externalLink" Target="externalLinks/externalLink725.xml"/><Relationship Id="rId962" Type="http://schemas.openxmlformats.org/officeDocument/2006/relationships/externalLink" Target="externalLinks/externalLink932.xml"/><Relationship Id="rId1178" Type="http://schemas.openxmlformats.org/officeDocument/2006/relationships/externalLink" Target="externalLinks/externalLink1148.xml"/><Relationship Id="rId91" Type="http://schemas.openxmlformats.org/officeDocument/2006/relationships/externalLink" Target="externalLinks/externalLink61.xml"/><Relationship Id="rId187" Type="http://schemas.openxmlformats.org/officeDocument/2006/relationships/externalLink" Target="externalLinks/externalLink157.xml"/><Relationship Id="rId394" Type="http://schemas.openxmlformats.org/officeDocument/2006/relationships/externalLink" Target="externalLinks/externalLink364.xml"/><Relationship Id="rId408" Type="http://schemas.openxmlformats.org/officeDocument/2006/relationships/externalLink" Target="externalLinks/externalLink378.xml"/><Relationship Id="rId615" Type="http://schemas.openxmlformats.org/officeDocument/2006/relationships/externalLink" Target="externalLinks/externalLink585.xml"/><Relationship Id="rId822" Type="http://schemas.openxmlformats.org/officeDocument/2006/relationships/externalLink" Target="externalLinks/externalLink792.xml"/><Relationship Id="rId1038" Type="http://schemas.openxmlformats.org/officeDocument/2006/relationships/externalLink" Target="externalLinks/externalLink1008.xml"/><Relationship Id="rId254" Type="http://schemas.openxmlformats.org/officeDocument/2006/relationships/externalLink" Target="externalLinks/externalLink224.xml"/><Relationship Id="rId699" Type="http://schemas.openxmlformats.org/officeDocument/2006/relationships/externalLink" Target="externalLinks/externalLink669.xml"/><Relationship Id="rId1091" Type="http://schemas.openxmlformats.org/officeDocument/2006/relationships/externalLink" Target="externalLinks/externalLink1061.xml"/><Relationship Id="rId1105" Type="http://schemas.openxmlformats.org/officeDocument/2006/relationships/externalLink" Target="externalLinks/externalLink1075.xml"/><Relationship Id="rId49" Type="http://schemas.openxmlformats.org/officeDocument/2006/relationships/externalLink" Target="externalLinks/externalLink19.xml"/><Relationship Id="rId114" Type="http://schemas.openxmlformats.org/officeDocument/2006/relationships/externalLink" Target="externalLinks/externalLink84.xml"/><Relationship Id="rId461" Type="http://schemas.openxmlformats.org/officeDocument/2006/relationships/externalLink" Target="externalLinks/externalLink431.xml"/><Relationship Id="rId559" Type="http://schemas.openxmlformats.org/officeDocument/2006/relationships/externalLink" Target="externalLinks/externalLink529.xml"/><Relationship Id="rId766" Type="http://schemas.openxmlformats.org/officeDocument/2006/relationships/externalLink" Target="externalLinks/externalLink736.xml"/><Relationship Id="rId1189" Type="http://schemas.openxmlformats.org/officeDocument/2006/relationships/externalLink" Target="externalLinks/externalLink1159.xml"/><Relationship Id="rId198" Type="http://schemas.openxmlformats.org/officeDocument/2006/relationships/externalLink" Target="externalLinks/externalLink168.xml"/><Relationship Id="rId321" Type="http://schemas.openxmlformats.org/officeDocument/2006/relationships/externalLink" Target="externalLinks/externalLink291.xml"/><Relationship Id="rId419" Type="http://schemas.openxmlformats.org/officeDocument/2006/relationships/externalLink" Target="externalLinks/externalLink389.xml"/><Relationship Id="rId626" Type="http://schemas.openxmlformats.org/officeDocument/2006/relationships/externalLink" Target="externalLinks/externalLink596.xml"/><Relationship Id="rId973" Type="http://schemas.openxmlformats.org/officeDocument/2006/relationships/externalLink" Target="externalLinks/externalLink943.xml"/><Relationship Id="rId1049" Type="http://schemas.openxmlformats.org/officeDocument/2006/relationships/externalLink" Target="externalLinks/externalLink1019.xml"/><Relationship Id="rId833" Type="http://schemas.openxmlformats.org/officeDocument/2006/relationships/externalLink" Target="externalLinks/externalLink803.xml"/><Relationship Id="rId1116" Type="http://schemas.openxmlformats.org/officeDocument/2006/relationships/externalLink" Target="externalLinks/externalLink1086.xml"/><Relationship Id="rId265" Type="http://schemas.openxmlformats.org/officeDocument/2006/relationships/externalLink" Target="externalLinks/externalLink235.xml"/><Relationship Id="rId472" Type="http://schemas.openxmlformats.org/officeDocument/2006/relationships/externalLink" Target="externalLinks/externalLink442.xml"/><Relationship Id="rId900" Type="http://schemas.openxmlformats.org/officeDocument/2006/relationships/externalLink" Target="externalLinks/externalLink870.xml"/><Relationship Id="rId125" Type="http://schemas.openxmlformats.org/officeDocument/2006/relationships/externalLink" Target="externalLinks/externalLink95.xml"/><Relationship Id="rId332" Type="http://schemas.openxmlformats.org/officeDocument/2006/relationships/externalLink" Target="externalLinks/externalLink302.xml"/><Relationship Id="rId777" Type="http://schemas.openxmlformats.org/officeDocument/2006/relationships/externalLink" Target="externalLinks/externalLink747.xml"/><Relationship Id="rId984" Type="http://schemas.openxmlformats.org/officeDocument/2006/relationships/externalLink" Target="externalLinks/externalLink954.xml"/><Relationship Id="rId637" Type="http://schemas.openxmlformats.org/officeDocument/2006/relationships/externalLink" Target="externalLinks/externalLink607.xml"/><Relationship Id="rId844" Type="http://schemas.openxmlformats.org/officeDocument/2006/relationships/externalLink" Target="externalLinks/externalLink814.xml"/><Relationship Id="rId276" Type="http://schemas.openxmlformats.org/officeDocument/2006/relationships/externalLink" Target="externalLinks/externalLink246.xml"/><Relationship Id="rId483" Type="http://schemas.openxmlformats.org/officeDocument/2006/relationships/externalLink" Target="externalLinks/externalLink453.xml"/><Relationship Id="rId690" Type="http://schemas.openxmlformats.org/officeDocument/2006/relationships/externalLink" Target="externalLinks/externalLink660.xml"/><Relationship Id="rId704" Type="http://schemas.openxmlformats.org/officeDocument/2006/relationships/externalLink" Target="externalLinks/externalLink674.xml"/><Relationship Id="rId911" Type="http://schemas.openxmlformats.org/officeDocument/2006/relationships/externalLink" Target="externalLinks/externalLink881.xml"/><Relationship Id="rId1127" Type="http://schemas.openxmlformats.org/officeDocument/2006/relationships/externalLink" Target="externalLinks/externalLink1097.xml"/><Relationship Id="rId40" Type="http://schemas.openxmlformats.org/officeDocument/2006/relationships/externalLink" Target="externalLinks/externalLink10.xml"/><Relationship Id="rId136" Type="http://schemas.openxmlformats.org/officeDocument/2006/relationships/externalLink" Target="externalLinks/externalLink106.xml"/><Relationship Id="rId343" Type="http://schemas.openxmlformats.org/officeDocument/2006/relationships/externalLink" Target="externalLinks/externalLink313.xml"/><Relationship Id="rId550" Type="http://schemas.openxmlformats.org/officeDocument/2006/relationships/externalLink" Target="externalLinks/externalLink520.xml"/><Relationship Id="rId788" Type="http://schemas.openxmlformats.org/officeDocument/2006/relationships/externalLink" Target="externalLinks/externalLink758.xml"/><Relationship Id="rId995" Type="http://schemas.openxmlformats.org/officeDocument/2006/relationships/externalLink" Target="externalLinks/externalLink965.xml"/><Relationship Id="rId1180" Type="http://schemas.openxmlformats.org/officeDocument/2006/relationships/externalLink" Target="externalLinks/externalLink1150.xml"/><Relationship Id="rId203" Type="http://schemas.openxmlformats.org/officeDocument/2006/relationships/externalLink" Target="externalLinks/externalLink173.xml"/><Relationship Id="rId648" Type="http://schemas.openxmlformats.org/officeDocument/2006/relationships/externalLink" Target="externalLinks/externalLink618.xml"/><Relationship Id="rId855" Type="http://schemas.openxmlformats.org/officeDocument/2006/relationships/externalLink" Target="externalLinks/externalLink825.xml"/><Relationship Id="rId1040" Type="http://schemas.openxmlformats.org/officeDocument/2006/relationships/externalLink" Target="externalLinks/externalLink1010.xml"/><Relationship Id="rId287" Type="http://schemas.openxmlformats.org/officeDocument/2006/relationships/externalLink" Target="externalLinks/externalLink257.xml"/><Relationship Id="rId410" Type="http://schemas.openxmlformats.org/officeDocument/2006/relationships/externalLink" Target="externalLinks/externalLink380.xml"/><Relationship Id="rId494" Type="http://schemas.openxmlformats.org/officeDocument/2006/relationships/externalLink" Target="externalLinks/externalLink464.xml"/><Relationship Id="rId508" Type="http://schemas.openxmlformats.org/officeDocument/2006/relationships/externalLink" Target="externalLinks/externalLink478.xml"/><Relationship Id="rId715" Type="http://schemas.openxmlformats.org/officeDocument/2006/relationships/externalLink" Target="externalLinks/externalLink685.xml"/><Relationship Id="rId922" Type="http://schemas.openxmlformats.org/officeDocument/2006/relationships/externalLink" Target="externalLinks/externalLink892.xml"/><Relationship Id="rId1138" Type="http://schemas.openxmlformats.org/officeDocument/2006/relationships/externalLink" Target="externalLinks/externalLink1108.xml"/><Relationship Id="rId147" Type="http://schemas.openxmlformats.org/officeDocument/2006/relationships/externalLink" Target="externalLinks/externalLink117.xml"/><Relationship Id="rId354" Type="http://schemas.openxmlformats.org/officeDocument/2006/relationships/externalLink" Target="externalLinks/externalLink324.xml"/><Relationship Id="rId799" Type="http://schemas.openxmlformats.org/officeDocument/2006/relationships/externalLink" Target="externalLinks/externalLink769.xml"/><Relationship Id="rId1191" Type="http://schemas.openxmlformats.org/officeDocument/2006/relationships/externalLink" Target="externalLinks/externalLink1161.xml"/><Relationship Id="rId51" Type="http://schemas.openxmlformats.org/officeDocument/2006/relationships/externalLink" Target="externalLinks/externalLink21.xml"/><Relationship Id="rId561" Type="http://schemas.openxmlformats.org/officeDocument/2006/relationships/externalLink" Target="externalLinks/externalLink531.xml"/><Relationship Id="rId659" Type="http://schemas.openxmlformats.org/officeDocument/2006/relationships/externalLink" Target="externalLinks/externalLink629.xml"/><Relationship Id="rId866" Type="http://schemas.openxmlformats.org/officeDocument/2006/relationships/externalLink" Target="externalLinks/externalLink836.xml"/><Relationship Id="rId214" Type="http://schemas.openxmlformats.org/officeDocument/2006/relationships/externalLink" Target="externalLinks/externalLink184.xml"/><Relationship Id="rId298" Type="http://schemas.openxmlformats.org/officeDocument/2006/relationships/externalLink" Target="externalLinks/externalLink268.xml"/><Relationship Id="rId421" Type="http://schemas.openxmlformats.org/officeDocument/2006/relationships/externalLink" Target="externalLinks/externalLink391.xml"/><Relationship Id="rId519" Type="http://schemas.openxmlformats.org/officeDocument/2006/relationships/externalLink" Target="externalLinks/externalLink489.xml"/><Relationship Id="rId1051" Type="http://schemas.openxmlformats.org/officeDocument/2006/relationships/externalLink" Target="externalLinks/externalLink1021.xml"/><Relationship Id="rId1149" Type="http://schemas.openxmlformats.org/officeDocument/2006/relationships/externalLink" Target="externalLinks/externalLink1119.xml"/><Relationship Id="rId158" Type="http://schemas.openxmlformats.org/officeDocument/2006/relationships/externalLink" Target="externalLinks/externalLink128.xml"/><Relationship Id="rId726" Type="http://schemas.openxmlformats.org/officeDocument/2006/relationships/externalLink" Target="externalLinks/externalLink696.xml"/><Relationship Id="rId933" Type="http://schemas.openxmlformats.org/officeDocument/2006/relationships/externalLink" Target="externalLinks/externalLink903.xml"/><Relationship Id="rId1009" Type="http://schemas.openxmlformats.org/officeDocument/2006/relationships/externalLink" Target="externalLinks/externalLink979.xml"/><Relationship Id="rId62" Type="http://schemas.openxmlformats.org/officeDocument/2006/relationships/externalLink" Target="externalLinks/externalLink32.xml"/><Relationship Id="rId365" Type="http://schemas.openxmlformats.org/officeDocument/2006/relationships/externalLink" Target="externalLinks/externalLink335.xml"/><Relationship Id="rId572" Type="http://schemas.openxmlformats.org/officeDocument/2006/relationships/externalLink" Target="externalLinks/externalLink542.xml"/><Relationship Id="rId225" Type="http://schemas.openxmlformats.org/officeDocument/2006/relationships/externalLink" Target="externalLinks/externalLink195.xml"/><Relationship Id="rId432" Type="http://schemas.openxmlformats.org/officeDocument/2006/relationships/externalLink" Target="externalLinks/externalLink402.xml"/><Relationship Id="rId877" Type="http://schemas.openxmlformats.org/officeDocument/2006/relationships/externalLink" Target="externalLinks/externalLink847.xml"/><Relationship Id="rId1062" Type="http://schemas.openxmlformats.org/officeDocument/2006/relationships/externalLink" Target="externalLinks/externalLink1032.xml"/><Relationship Id="rId737" Type="http://schemas.openxmlformats.org/officeDocument/2006/relationships/externalLink" Target="externalLinks/externalLink707.xml"/><Relationship Id="rId944" Type="http://schemas.openxmlformats.org/officeDocument/2006/relationships/externalLink" Target="externalLinks/externalLink914.xml"/><Relationship Id="rId73" Type="http://schemas.openxmlformats.org/officeDocument/2006/relationships/externalLink" Target="externalLinks/externalLink43.xml"/><Relationship Id="rId169" Type="http://schemas.openxmlformats.org/officeDocument/2006/relationships/externalLink" Target="externalLinks/externalLink139.xml"/><Relationship Id="rId376" Type="http://schemas.openxmlformats.org/officeDocument/2006/relationships/externalLink" Target="externalLinks/externalLink346.xml"/><Relationship Id="rId583" Type="http://schemas.openxmlformats.org/officeDocument/2006/relationships/externalLink" Target="externalLinks/externalLink553.xml"/><Relationship Id="rId790" Type="http://schemas.openxmlformats.org/officeDocument/2006/relationships/externalLink" Target="externalLinks/externalLink760.xml"/><Relationship Id="rId804" Type="http://schemas.openxmlformats.org/officeDocument/2006/relationships/externalLink" Target="externalLinks/externalLink774.xml"/><Relationship Id="rId4" Type="http://schemas.openxmlformats.org/officeDocument/2006/relationships/worksheet" Target="worksheets/sheet4.xml"/><Relationship Id="rId236" Type="http://schemas.openxmlformats.org/officeDocument/2006/relationships/externalLink" Target="externalLinks/externalLink206.xml"/><Relationship Id="rId443" Type="http://schemas.openxmlformats.org/officeDocument/2006/relationships/externalLink" Target="externalLinks/externalLink413.xml"/><Relationship Id="rId650" Type="http://schemas.openxmlformats.org/officeDocument/2006/relationships/externalLink" Target="externalLinks/externalLink620.xml"/><Relationship Id="rId888" Type="http://schemas.openxmlformats.org/officeDocument/2006/relationships/externalLink" Target="externalLinks/externalLink858.xml"/><Relationship Id="rId1073" Type="http://schemas.openxmlformats.org/officeDocument/2006/relationships/externalLink" Target="externalLinks/externalLink1043.xml"/><Relationship Id="rId303" Type="http://schemas.openxmlformats.org/officeDocument/2006/relationships/externalLink" Target="externalLinks/externalLink273.xml"/><Relationship Id="rId748" Type="http://schemas.openxmlformats.org/officeDocument/2006/relationships/externalLink" Target="externalLinks/externalLink718.xml"/><Relationship Id="rId955" Type="http://schemas.openxmlformats.org/officeDocument/2006/relationships/externalLink" Target="externalLinks/externalLink925.xml"/><Relationship Id="rId1140" Type="http://schemas.openxmlformats.org/officeDocument/2006/relationships/externalLink" Target="externalLinks/externalLink1110.xml"/><Relationship Id="rId84" Type="http://schemas.openxmlformats.org/officeDocument/2006/relationships/externalLink" Target="externalLinks/externalLink54.xml"/><Relationship Id="rId387" Type="http://schemas.openxmlformats.org/officeDocument/2006/relationships/externalLink" Target="externalLinks/externalLink357.xml"/><Relationship Id="rId510" Type="http://schemas.openxmlformats.org/officeDocument/2006/relationships/externalLink" Target="externalLinks/externalLink480.xml"/><Relationship Id="rId594" Type="http://schemas.openxmlformats.org/officeDocument/2006/relationships/externalLink" Target="externalLinks/externalLink564.xml"/><Relationship Id="rId608" Type="http://schemas.openxmlformats.org/officeDocument/2006/relationships/externalLink" Target="externalLinks/externalLink578.xml"/><Relationship Id="rId815" Type="http://schemas.openxmlformats.org/officeDocument/2006/relationships/externalLink" Target="externalLinks/externalLink785.xml"/><Relationship Id="rId247" Type="http://schemas.openxmlformats.org/officeDocument/2006/relationships/externalLink" Target="externalLinks/externalLink217.xml"/><Relationship Id="rId899" Type="http://schemas.openxmlformats.org/officeDocument/2006/relationships/externalLink" Target="externalLinks/externalLink869.xml"/><Relationship Id="rId1000" Type="http://schemas.openxmlformats.org/officeDocument/2006/relationships/externalLink" Target="externalLinks/externalLink970.xml"/><Relationship Id="rId1084" Type="http://schemas.openxmlformats.org/officeDocument/2006/relationships/externalLink" Target="externalLinks/externalLink1054.xml"/><Relationship Id="rId107" Type="http://schemas.openxmlformats.org/officeDocument/2006/relationships/externalLink" Target="externalLinks/externalLink77.xml"/><Relationship Id="rId454" Type="http://schemas.openxmlformats.org/officeDocument/2006/relationships/externalLink" Target="externalLinks/externalLink424.xml"/><Relationship Id="rId661" Type="http://schemas.openxmlformats.org/officeDocument/2006/relationships/externalLink" Target="externalLinks/externalLink631.xml"/><Relationship Id="rId759" Type="http://schemas.openxmlformats.org/officeDocument/2006/relationships/externalLink" Target="externalLinks/externalLink729.xml"/><Relationship Id="rId966" Type="http://schemas.openxmlformats.org/officeDocument/2006/relationships/externalLink" Target="externalLinks/externalLink936.xml"/><Relationship Id="rId11" Type="http://schemas.openxmlformats.org/officeDocument/2006/relationships/worksheet" Target="worksheets/sheet11.xml"/><Relationship Id="rId314" Type="http://schemas.openxmlformats.org/officeDocument/2006/relationships/externalLink" Target="externalLinks/externalLink284.xml"/><Relationship Id="rId398" Type="http://schemas.openxmlformats.org/officeDocument/2006/relationships/externalLink" Target="externalLinks/externalLink368.xml"/><Relationship Id="rId521" Type="http://schemas.openxmlformats.org/officeDocument/2006/relationships/externalLink" Target="externalLinks/externalLink491.xml"/><Relationship Id="rId619" Type="http://schemas.openxmlformats.org/officeDocument/2006/relationships/externalLink" Target="externalLinks/externalLink589.xml"/><Relationship Id="rId1151" Type="http://schemas.openxmlformats.org/officeDocument/2006/relationships/externalLink" Target="externalLinks/externalLink1121.xml"/><Relationship Id="rId95" Type="http://schemas.openxmlformats.org/officeDocument/2006/relationships/externalLink" Target="externalLinks/externalLink65.xml"/><Relationship Id="rId160" Type="http://schemas.openxmlformats.org/officeDocument/2006/relationships/externalLink" Target="externalLinks/externalLink130.xml"/><Relationship Id="rId826" Type="http://schemas.openxmlformats.org/officeDocument/2006/relationships/externalLink" Target="externalLinks/externalLink796.xml"/><Relationship Id="rId1011" Type="http://schemas.openxmlformats.org/officeDocument/2006/relationships/externalLink" Target="externalLinks/externalLink981.xml"/><Relationship Id="rId1109" Type="http://schemas.openxmlformats.org/officeDocument/2006/relationships/externalLink" Target="externalLinks/externalLink1079.xml"/><Relationship Id="rId258" Type="http://schemas.openxmlformats.org/officeDocument/2006/relationships/externalLink" Target="externalLinks/externalLink228.xml"/><Relationship Id="rId465" Type="http://schemas.openxmlformats.org/officeDocument/2006/relationships/externalLink" Target="externalLinks/externalLink435.xml"/><Relationship Id="rId672" Type="http://schemas.openxmlformats.org/officeDocument/2006/relationships/externalLink" Target="externalLinks/externalLink642.xml"/><Relationship Id="rId1095" Type="http://schemas.openxmlformats.org/officeDocument/2006/relationships/externalLink" Target="externalLinks/externalLink1065.xml"/><Relationship Id="rId22" Type="http://schemas.openxmlformats.org/officeDocument/2006/relationships/worksheet" Target="worksheets/sheet22.xml"/><Relationship Id="rId118" Type="http://schemas.openxmlformats.org/officeDocument/2006/relationships/externalLink" Target="externalLinks/externalLink88.xml"/><Relationship Id="rId325" Type="http://schemas.openxmlformats.org/officeDocument/2006/relationships/externalLink" Target="externalLinks/externalLink295.xml"/><Relationship Id="rId532" Type="http://schemas.openxmlformats.org/officeDocument/2006/relationships/externalLink" Target="externalLinks/externalLink502.xml"/><Relationship Id="rId977" Type="http://schemas.openxmlformats.org/officeDocument/2006/relationships/externalLink" Target="externalLinks/externalLink947.xml"/><Relationship Id="rId1162" Type="http://schemas.openxmlformats.org/officeDocument/2006/relationships/externalLink" Target="externalLinks/externalLink1132.xml"/><Relationship Id="rId171" Type="http://schemas.openxmlformats.org/officeDocument/2006/relationships/externalLink" Target="externalLinks/externalLink141.xml"/><Relationship Id="rId837" Type="http://schemas.openxmlformats.org/officeDocument/2006/relationships/externalLink" Target="externalLinks/externalLink807.xml"/><Relationship Id="rId1022" Type="http://schemas.openxmlformats.org/officeDocument/2006/relationships/externalLink" Target="externalLinks/externalLink992.xml"/><Relationship Id="rId269" Type="http://schemas.openxmlformats.org/officeDocument/2006/relationships/externalLink" Target="externalLinks/externalLink239.xml"/><Relationship Id="rId476" Type="http://schemas.openxmlformats.org/officeDocument/2006/relationships/externalLink" Target="externalLinks/externalLink446.xml"/><Relationship Id="rId683" Type="http://schemas.openxmlformats.org/officeDocument/2006/relationships/externalLink" Target="externalLinks/externalLink653.xml"/><Relationship Id="rId890" Type="http://schemas.openxmlformats.org/officeDocument/2006/relationships/externalLink" Target="externalLinks/externalLink860.xml"/><Relationship Id="rId904" Type="http://schemas.openxmlformats.org/officeDocument/2006/relationships/externalLink" Target="externalLinks/externalLink874.xml"/><Relationship Id="rId33" Type="http://schemas.openxmlformats.org/officeDocument/2006/relationships/externalLink" Target="externalLinks/externalLink3.xml"/><Relationship Id="rId129" Type="http://schemas.openxmlformats.org/officeDocument/2006/relationships/externalLink" Target="externalLinks/externalLink99.xml"/><Relationship Id="rId336" Type="http://schemas.openxmlformats.org/officeDocument/2006/relationships/externalLink" Target="externalLinks/externalLink306.xml"/><Relationship Id="rId543" Type="http://schemas.openxmlformats.org/officeDocument/2006/relationships/externalLink" Target="externalLinks/externalLink513.xml"/><Relationship Id="rId988" Type="http://schemas.openxmlformats.org/officeDocument/2006/relationships/externalLink" Target="externalLinks/externalLink958.xml"/><Relationship Id="rId1173" Type="http://schemas.openxmlformats.org/officeDocument/2006/relationships/externalLink" Target="externalLinks/externalLink1143.xml"/><Relationship Id="rId182" Type="http://schemas.openxmlformats.org/officeDocument/2006/relationships/externalLink" Target="externalLinks/externalLink152.xml"/><Relationship Id="rId403" Type="http://schemas.openxmlformats.org/officeDocument/2006/relationships/externalLink" Target="externalLinks/externalLink373.xml"/><Relationship Id="rId750" Type="http://schemas.openxmlformats.org/officeDocument/2006/relationships/externalLink" Target="externalLinks/externalLink720.xml"/><Relationship Id="rId848" Type="http://schemas.openxmlformats.org/officeDocument/2006/relationships/externalLink" Target="externalLinks/externalLink818.xml"/><Relationship Id="rId1033" Type="http://schemas.openxmlformats.org/officeDocument/2006/relationships/externalLink" Target="externalLinks/externalLink1003.xml"/><Relationship Id="rId487" Type="http://schemas.openxmlformats.org/officeDocument/2006/relationships/externalLink" Target="externalLinks/externalLink457.xml"/><Relationship Id="rId610" Type="http://schemas.openxmlformats.org/officeDocument/2006/relationships/externalLink" Target="externalLinks/externalLink580.xml"/><Relationship Id="rId694" Type="http://schemas.openxmlformats.org/officeDocument/2006/relationships/externalLink" Target="externalLinks/externalLink664.xml"/><Relationship Id="rId708" Type="http://schemas.openxmlformats.org/officeDocument/2006/relationships/externalLink" Target="externalLinks/externalLink678.xml"/><Relationship Id="rId915" Type="http://schemas.openxmlformats.org/officeDocument/2006/relationships/externalLink" Target="externalLinks/externalLink885.xml"/><Relationship Id="rId347" Type="http://schemas.openxmlformats.org/officeDocument/2006/relationships/externalLink" Target="externalLinks/externalLink317.xml"/><Relationship Id="rId999" Type="http://schemas.openxmlformats.org/officeDocument/2006/relationships/externalLink" Target="externalLinks/externalLink969.xml"/><Relationship Id="rId1100" Type="http://schemas.openxmlformats.org/officeDocument/2006/relationships/externalLink" Target="externalLinks/externalLink1070.xml"/><Relationship Id="rId1184" Type="http://schemas.openxmlformats.org/officeDocument/2006/relationships/externalLink" Target="externalLinks/externalLink1154.xml"/><Relationship Id="rId44" Type="http://schemas.openxmlformats.org/officeDocument/2006/relationships/externalLink" Target="externalLinks/externalLink14.xml"/><Relationship Id="rId554" Type="http://schemas.openxmlformats.org/officeDocument/2006/relationships/externalLink" Target="externalLinks/externalLink524.xml"/><Relationship Id="rId761" Type="http://schemas.openxmlformats.org/officeDocument/2006/relationships/externalLink" Target="externalLinks/externalLink731.xml"/><Relationship Id="rId859" Type="http://schemas.openxmlformats.org/officeDocument/2006/relationships/externalLink" Target="externalLinks/externalLink829.xml"/><Relationship Id="rId193" Type="http://schemas.openxmlformats.org/officeDocument/2006/relationships/externalLink" Target="externalLinks/externalLink163.xml"/><Relationship Id="rId207" Type="http://schemas.openxmlformats.org/officeDocument/2006/relationships/externalLink" Target="externalLinks/externalLink177.xml"/><Relationship Id="rId414" Type="http://schemas.openxmlformats.org/officeDocument/2006/relationships/externalLink" Target="externalLinks/externalLink384.xml"/><Relationship Id="rId498" Type="http://schemas.openxmlformats.org/officeDocument/2006/relationships/externalLink" Target="externalLinks/externalLink468.xml"/><Relationship Id="rId621" Type="http://schemas.openxmlformats.org/officeDocument/2006/relationships/externalLink" Target="externalLinks/externalLink591.xml"/><Relationship Id="rId1044" Type="http://schemas.openxmlformats.org/officeDocument/2006/relationships/externalLink" Target="externalLinks/externalLink1014.xml"/><Relationship Id="rId260" Type="http://schemas.openxmlformats.org/officeDocument/2006/relationships/externalLink" Target="externalLinks/externalLink230.xml"/><Relationship Id="rId719" Type="http://schemas.openxmlformats.org/officeDocument/2006/relationships/externalLink" Target="externalLinks/externalLink689.xml"/><Relationship Id="rId926" Type="http://schemas.openxmlformats.org/officeDocument/2006/relationships/externalLink" Target="externalLinks/externalLink896.xml"/><Relationship Id="rId1111" Type="http://schemas.openxmlformats.org/officeDocument/2006/relationships/externalLink" Target="externalLinks/externalLink1081.xml"/><Relationship Id="rId55" Type="http://schemas.openxmlformats.org/officeDocument/2006/relationships/externalLink" Target="externalLinks/externalLink25.xml"/><Relationship Id="rId120" Type="http://schemas.openxmlformats.org/officeDocument/2006/relationships/externalLink" Target="externalLinks/externalLink90.xml"/><Relationship Id="rId358" Type="http://schemas.openxmlformats.org/officeDocument/2006/relationships/externalLink" Target="externalLinks/externalLink328.xml"/><Relationship Id="rId565" Type="http://schemas.openxmlformats.org/officeDocument/2006/relationships/externalLink" Target="externalLinks/externalLink535.xml"/><Relationship Id="rId772" Type="http://schemas.openxmlformats.org/officeDocument/2006/relationships/externalLink" Target="externalLinks/externalLink742.xml"/><Relationship Id="rId1195" Type="http://schemas.openxmlformats.org/officeDocument/2006/relationships/externalLink" Target="externalLinks/externalLink1165.xml"/><Relationship Id="rId218" Type="http://schemas.openxmlformats.org/officeDocument/2006/relationships/externalLink" Target="externalLinks/externalLink188.xml"/><Relationship Id="rId425" Type="http://schemas.openxmlformats.org/officeDocument/2006/relationships/externalLink" Target="externalLinks/externalLink395.xml"/><Relationship Id="rId632" Type="http://schemas.openxmlformats.org/officeDocument/2006/relationships/externalLink" Target="externalLinks/externalLink602.xml"/><Relationship Id="rId1055" Type="http://schemas.openxmlformats.org/officeDocument/2006/relationships/externalLink" Target="externalLinks/externalLink1025.xml"/><Relationship Id="rId271" Type="http://schemas.openxmlformats.org/officeDocument/2006/relationships/externalLink" Target="externalLinks/externalLink241.xml"/><Relationship Id="rId937" Type="http://schemas.openxmlformats.org/officeDocument/2006/relationships/externalLink" Target="externalLinks/externalLink907.xml"/><Relationship Id="rId1122" Type="http://schemas.openxmlformats.org/officeDocument/2006/relationships/externalLink" Target="externalLinks/externalLink1092.xml"/><Relationship Id="rId66" Type="http://schemas.openxmlformats.org/officeDocument/2006/relationships/externalLink" Target="externalLinks/externalLink36.xml"/><Relationship Id="rId131" Type="http://schemas.openxmlformats.org/officeDocument/2006/relationships/externalLink" Target="externalLinks/externalLink101.xml"/><Relationship Id="rId369" Type="http://schemas.openxmlformats.org/officeDocument/2006/relationships/externalLink" Target="externalLinks/externalLink339.xml"/><Relationship Id="rId576" Type="http://schemas.openxmlformats.org/officeDocument/2006/relationships/externalLink" Target="externalLinks/externalLink546.xml"/><Relationship Id="rId783" Type="http://schemas.openxmlformats.org/officeDocument/2006/relationships/externalLink" Target="externalLinks/externalLink753.xml"/><Relationship Id="rId990" Type="http://schemas.openxmlformats.org/officeDocument/2006/relationships/externalLink" Target="externalLinks/externalLink960.xml"/><Relationship Id="rId229" Type="http://schemas.openxmlformats.org/officeDocument/2006/relationships/externalLink" Target="externalLinks/externalLink199.xml"/><Relationship Id="rId436" Type="http://schemas.openxmlformats.org/officeDocument/2006/relationships/externalLink" Target="externalLinks/externalLink406.xml"/><Relationship Id="rId643" Type="http://schemas.openxmlformats.org/officeDocument/2006/relationships/externalLink" Target="externalLinks/externalLink613.xml"/><Relationship Id="rId1066" Type="http://schemas.openxmlformats.org/officeDocument/2006/relationships/externalLink" Target="externalLinks/externalLink1036.xml"/><Relationship Id="rId850" Type="http://schemas.openxmlformats.org/officeDocument/2006/relationships/externalLink" Target="externalLinks/externalLink820.xml"/><Relationship Id="rId948" Type="http://schemas.openxmlformats.org/officeDocument/2006/relationships/externalLink" Target="externalLinks/externalLink918.xml"/><Relationship Id="rId1133" Type="http://schemas.openxmlformats.org/officeDocument/2006/relationships/externalLink" Target="externalLinks/externalLink1103.xml"/><Relationship Id="rId77" Type="http://schemas.openxmlformats.org/officeDocument/2006/relationships/externalLink" Target="externalLinks/externalLink47.xml"/><Relationship Id="rId282" Type="http://schemas.openxmlformats.org/officeDocument/2006/relationships/externalLink" Target="externalLinks/externalLink252.xml"/><Relationship Id="rId503" Type="http://schemas.openxmlformats.org/officeDocument/2006/relationships/externalLink" Target="externalLinks/externalLink473.xml"/><Relationship Id="rId587" Type="http://schemas.openxmlformats.org/officeDocument/2006/relationships/externalLink" Target="externalLinks/externalLink557.xml"/><Relationship Id="rId710" Type="http://schemas.openxmlformats.org/officeDocument/2006/relationships/externalLink" Target="externalLinks/externalLink680.xml"/><Relationship Id="rId808" Type="http://schemas.openxmlformats.org/officeDocument/2006/relationships/externalLink" Target="externalLinks/externalLink778.xml"/><Relationship Id="rId8" Type="http://schemas.openxmlformats.org/officeDocument/2006/relationships/worksheet" Target="worksheets/sheet8.xml"/><Relationship Id="rId142" Type="http://schemas.openxmlformats.org/officeDocument/2006/relationships/externalLink" Target="externalLinks/externalLink112.xml"/><Relationship Id="rId447" Type="http://schemas.openxmlformats.org/officeDocument/2006/relationships/externalLink" Target="externalLinks/externalLink417.xml"/><Relationship Id="rId794" Type="http://schemas.openxmlformats.org/officeDocument/2006/relationships/externalLink" Target="externalLinks/externalLink764.xml"/><Relationship Id="rId1077" Type="http://schemas.openxmlformats.org/officeDocument/2006/relationships/externalLink" Target="externalLinks/externalLink1047.xml"/><Relationship Id="rId1200" Type="http://schemas.openxmlformats.org/officeDocument/2006/relationships/calcChain" Target="calcChain.xml"/><Relationship Id="rId654" Type="http://schemas.openxmlformats.org/officeDocument/2006/relationships/externalLink" Target="externalLinks/externalLink624.xml"/><Relationship Id="rId861" Type="http://schemas.openxmlformats.org/officeDocument/2006/relationships/externalLink" Target="externalLinks/externalLink831.xml"/><Relationship Id="rId959" Type="http://schemas.openxmlformats.org/officeDocument/2006/relationships/externalLink" Target="externalLinks/externalLink929.xml"/><Relationship Id="rId293" Type="http://schemas.openxmlformats.org/officeDocument/2006/relationships/externalLink" Target="externalLinks/externalLink263.xml"/><Relationship Id="rId307" Type="http://schemas.openxmlformats.org/officeDocument/2006/relationships/externalLink" Target="externalLinks/externalLink277.xml"/><Relationship Id="rId514" Type="http://schemas.openxmlformats.org/officeDocument/2006/relationships/externalLink" Target="externalLinks/externalLink484.xml"/><Relationship Id="rId721" Type="http://schemas.openxmlformats.org/officeDocument/2006/relationships/externalLink" Target="externalLinks/externalLink691.xml"/><Relationship Id="rId1144" Type="http://schemas.openxmlformats.org/officeDocument/2006/relationships/externalLink" Target="externalLinks/externalLink1114.xml"/><Relationship Id="rId88" Type="http://schemas.openxmlformats.org/officeDocument/2006/relationships/externalLink" Target="externalLinks/externalLink58.xml"/><Relationship Id="rId153" Type="http://schemas.openxmlformats.org/officeDocument/2006/relationships/externalLink" Target="externalLinks/externalLink123.xml"/><Relationship Id="rId360" Type="http://schemas.openxmlformats.org/officeDocument/2006/relationships/externalLink" Target="externalLinks/externalLink330.xml"/><Relationship Id="rId598" Type="http://schemas.openxmlformats.org/officeDocument/2006/relationships/externalLink" Target="externalLinks/externalLink568.xml"/><Relationship Id="rId819" Type="http://schemas.openxmlformats.org/officeDocument/2006/relationships/externalLink" Target="externalLinks/externalLink789.xml"/><Relationship Id="rId1004" Type="http://schemas.openxmlformats.org/officeDocument/2006/relationships/externalLink" Target="externalLinks/externalLink974.xml"/><Relationship Id="rId220" Type="http://schemas.openxmlformats.org/officeDocument/2006/relationships/externalLink" Target="externalLinks/externalLink190.xml"/><Relationship Id="rId458" Type="http://schemas.openxmlformats.org/officeDocument/2006/relationships/externalLink" Target="externalLinks/externalLink428.xml"/><Relationship Id="rId665" Type="http://schemas.openxmlformats.org/officeDocument/2006/relationships/externalLink" Target="externalLinks/externalLink635.xml"/><Relationship Id="rId872" Type="http://schemas.openxmlformats.org/officeDocument/2006/relationships/externalLink" Target="externalLinks/externalLink842.xml"/><Relationship Id="rId1088" Type="http://schemas.openxmlformats.org/officeDocument/2006/relationships/externalLink" Target="externalLinks/externalLink1058.xml"/><Relationship Id="rId15" Type="http://schemas.openxmlformats.org/officeDocument/2006/relationships/worksheet" Target="worksheets/sheet15.xml"/><Relationship Id="rId318" Type="http://schemas.openxmlformats.org/officeDocument/2006/relationships/externalLink" Target="externalLinks/externalLink288.xml"/><Relationship Id="rId525" Type="http://schemas.openxmlformats.org/officeDocument/2006/relationships/externalLink" Target="externalLinks/externalLink495.xml"/><Relationship Id="rId732" Type="http://schemas.openxmlformats.org/officeDocument/2006/relationships/externalLink" Target="externalLinks/externalLink702.xml"/><Relationship Id="rId1155" Type="http://schemas.openxmlformats.org/officeDocument/2006/relationships/externalLink" Target="externalLinks/externalLink1125.xml"/><Relationship Id="rId99" Type="http://schemas.openxmlformats.org/officeDocument/2006/relationships/externalLink" Target="externalLinks/externalLink69.xml"/><Relationship Id="rId164" Type="http://schemas.openxmlformats.org/officeDocument/2006/relationships/externalLink" Target="externalLinks/externalLink134.xml"/><Relationship Id="rId371" Type="http://schemas.openxmlformats.org/officeDocument/2006/relationships/externalLink" Target="externalLinks/externalLink341.xml"/><Relationship Id="rId1015" Type="http://schemas.openxmlformats.org/officeDocument/2006/relationships/externalLink" Target="externalLinks/externalLink985.xml"/><Relationship Id="rId469" Type="http://schemas.openxmlformats.org/officeDocument/2006/relationships/externalLink" Target="externalLinks/externalLink439.xml"/><Relationship Id="rId676" Type="http://schemas.openxmlformats.org/officeDocument/2006/relationships/externalLink" Target="externalLinks/externalLink646.xml"/><Relationship Id="rId883" Type="http://schemas.openxmlformats.org/officeDocument/2006/relationships/externalLink" Target="externalLinks/externalLink853.xml"/><Relationship Id="rId1099" Type="http://schemas.openxmlformats.org/officeDocument/2006/relationships/externalLink" Target="externalLinks/externalLink1069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201.xml"/><Relationship Id="rId329" Type="http://schemas.openxmlformats.org/officeDocument/2006/relationships/externalLink" Target="externalLinks/externalLink299.xml"/><Relationship Id="rId536" Type="http://schemas.openxmlformats.org/officeDocument/2006/relationships/externalLink" Target="externalLinks/externalLink506.xml"/><Relationship Id="rId1166" Type="http://schemas.openxmlformats.org/officeDocument/2006/relationships/externalLink" Target="externalLinks/externalLink1136.xml"/><Relationship Id="rId175" Type="http://schemas.openxmlformats.org/officeDocument/2006/relationships/externalLink" Target="externalLinks/externalLink145.xml"/><Relationship Id="rId743" Type="http://schemas.openxmlformats.org/officeDocument/2006/relationships/externalLink" Target="externalLinks/externalLink713.xml"/><Relationship Id="rId950" Type="http://schemas.openxmlformats.org/officeDocument/2006/relationships/externalLink" Target="externalLinks/externalLink920.xml"/><Relationship Id="rId1026" Type="http://schemas.openxmlformats.org/officeDocument/2006/relationships/externalLink" Target="externalLinks/externalLink996.xml"/><Relationship Id="rId382" Type="http://schemas.openxmlformats.org/officeDocument/2006/relationships/externalLink" Target="externalLinks/externalLink352.xml"/><Relationship Id="rId603" Type="http://schemas.openxmlformats.org/officeDocument/2006/relationships/externalLink" Target="externalLinks/externalLink573.xml"/><Relationship Id="rId687" Type="http://schemas.openxmlformats.org/officeDocument/2006/relationships/externalLink" Target="externalLinks/externalLink657.xml"/><Relationship Id="rId810" Type="http://schemas.openxmlformats.org/officeDocument/2006/relationships/externalLink" Target="externalLinks/externalLink780.xml"/><Relationship Id="rId908" Type="http://schemas.openxmlformats.org/officeDocument/2006/relationships/externalLink" Target="externalLinks/externalLink878.xml"/><Relationship Id="rId242" Type="http://schemas.openxmlformats.org/officeDocument/2006/relationships/externalLink" Target="externalLinks/externalLink212.xml"/><Relationship Id="rId894" Type="http://schemas.openxmlformats.org/officeDocument/2006/relationships/externalLink" Target="externalLinks/externalLink864.xml"/><Relationship Id="rId1177" Type="http://schemas.openxmlformats.org/officeDocument/2006/relationships/externalLink" Target="externalLinks/externalLink1147.xml"/><Relationship Id="rId37" Type="http://schemas.openxmlformats.org/officeDocument/2006/relationships/externalLink" Target="externalLinks/externalLink7.xml"/><Relationship Id="rId102" Type="http://schemas.openxmlformats.org/officeDocument/2006/relationships/externalLink" Target="externalLinks/externalLink72.xml"/><Relationship Id="rId547" Type="http://schemas.openxmlformats.org/officeDocument/2006/relationships/externalLink" Target="externalLinks/externalLink517.xml"/><Relationship Id="rId754" Type="http://schemas.openxmlformats.org/officeDocument/2006/relationships/externalLink" Target="externalLinks/externalLink724.xml"/><Relationship Id="rId961" Type="http://schemas.openxmlformats.org/officeDocument/2006/relationships/externalLink" Target="externalLinks/externalLink931.xml"/><Relationship Id="rId90" Type="http://schemas.openxmlformats.org/officeDocument/2006/relationships/externalLink" Target="externalLinks/externalLink60.xml"/><Relationship Id="rId186" Type="http://schemas.openxmlformats.org/officeDocument/2006/relationships/externalLink" Target="externalLinks/externalLink156.xml"/><Relationship Id="rId393" Type="http://schemas.openxmlformats.org/officeDocument/2006/relationships/externalLink" Target="externalLinks/externalLink363.xml"/><Relationship Id="rId407" Type="http://schemas.openxmlformats.org/officeDocument/2006/relationships/externalLink" Target="externalLinks/externalLink377.xml"/><Relationship Id="rId614" Type="http://schemas.openxmlformats.org/officeDocument/2006/relationships/externalLink" Target="externalLinks/externalLink584.xml"/><Relationship Id="rId821" Type="http://schemas.openxmlformats.org/officeDocument/2006/relationships/externalLink" Target="externalLinks/externalLink791.xml"/><Relationship Id="rId1037" Type="http://schemas.openxmlformats.org/officeDocument/2006/relationships/externalLink" Target="externalLinks/externalLink1007.xml"/><Relationship Id="rId253" Type="http://schemas.openxmlformats.org/officeDocument/2006/relationships/externalLink" Target="externalLinks/externalLink223.xml"/><Relationship Id="rId460" Type="http://schemas.openxmlformats.org/officeDocument/2006/relationships/externalLink" Target="externalLinks/externalLink430.xml"/><Relationship Id="rId698" Type="http://schemas.openxmlformats.org/officeDocument/2006/relationships/externalLink" Target="externalLinks/externalLink668.xml"/><Relationship Id="rId919" Type="http://schemas.openxmlformats.org/officeDocument/2006/relationships/externalLink" Target="externalLinks/externalLink889.xml"/><Relationship Id="rId1090" Type="http://schemas.openxmlformats.org/officeDocument/2006/relationships/externalLink" Target="externalLinks/externalLink1060.xml"/><Relationship Id="rId1104" Type="http://schemas.openxmlformats.org/officeDocument/2006/relationships/externalLink" Target="externalLinks/externalLink1074.xml"/><Relationship Id="rId48" Type="http://schemas.openxmlformats.org/officeDocument/2006/relationships/externalLink" Target="externalLinks/externalLink18.xml"/><Relationship Id="rId113" Type="http://schemas.openxmlformats.org/officeDocument/2006/relationships/externalLink" Target="externalLinks/externalLink83.xml"/><Relationship Id="rId320" Type="http://schemas.openxmlformats.org/officeDocument/2006/relationships/externalLink" Target="externalLinks/externalLink290.xml"/><Relationship Id="rId558" Type="http://schemas.openxmlformats.org/officeDocument/2006/relationships/externalLink" Target="externalLinks/externalLink528.xml"/><Relationship Id="rId765" Type="http://schemas.openxmlformats.org/officeDocument/2006/relationships/externalLink" Target="externalLinks/externalLink735.xml"/><Relationship Id="rId972" Type="http://schemas.openxmlformats.org/officeDocument/2006/relationships/externalLink" Target="externalLinks/externalLink942.xml"/><Relationship Id="rId1188" Type="http://schemas.openxmlformats.org/officeDocument/2006/relationships/externalLink" Target="externalLinks/externalLink1158.xml"/><Relationship Id="rId197" Type="http://schemas.openxmlformats.org/officeDocument/2006/relationships/externalLink" Target="externalLinks/externalLink167.xml"/><Relationship Id="rId418" Type="http://schemas.openxmlformats.org/officeDocument/2006/relationships/externalLink" Target="externalLinks/externalLink388.xml"/><Relationship Id="rId625" Type="http://schemas.openxmlformats.org/officeDocument/2006/relationships/externalLink" Target="externalLinks/externalLink595.xml"/><Relationship Id="rId832" Type="http://schemas.openxmlformats.org/officeDocument/2006/relationships/externalLink" Target="externalLinks/externalLink802.xml"/><Relationship Id="rId1048" Type="http://schemas.openxmlformats.org/officeDocument/2006/relationships/externalLink" Target="externalLinks/externalLink1018.xml"/><Relationship Id="rId264" Type="http://schemas.openxmlformats.org/officeDocument/2006/relationships/externalLink" Target="externalLinks/externalLink234.xml"/><Relationship Id="rId471" Type="http://schemas.openxmlformats.org/officeDocument/2006/relationships/externalLink" Target="externalLinks/externalLink441.xml"/><Relationship Id="rId1115" Type="http://schemas.openxmlformats.org/officeDocument/2006/relationships/externalLink" Target="externalLinks/externalLink1085.xml"/><Relationship Id="rId59" Type="http://schemas.openxmlformats.org/officeDocument/2006/relationships/externalLink" Target="externalLinks/externalLink29.xml"/><Relationship Id="rId124" Type="http://schemas.openxmlformats.org/officeDocument/2006/relationships/externalLink" Target="externalLinks/externalLink94.xml"/><Relationship Id="rId569" Type="http://schemas.openxmlformats.org/officeDocument/2006/relationships/externalLink" Target="externalLinks/externalLink539.xml"/><Relationship Id="rId776" Type="http://schemas.openxmlformats.org/officeDocument/2006/relationships/externalLink" Target="externalLinks/externalLink746.xml"/><Relationship Id="rId983" Type="http://schemas.openxmlformats.org/officeDocument/2006/relationships/externalLink" Target="externalLinks/externalLink953.xml"/><Relationship Id="rId1199" Type="http://schemas.openxmlformats.org/officeDocument/2006/relationships/sharedStrings" Target="sharedStrings.xml"/><Relationship Id="rId331" Type="http://schemas.openxmlformats.org/officeDocument/2006/relationships/externalLink" Target="externalLinks/externalLink301.xml"/><Relationship Id="rId429" Type="http://schemas.openxmlformats.org/officeDocument/2006/relationships/externalLink" Target="externalLinks/externalLink399.xml"/><Relationship Id="rId636" Type="http://schemas.openxmlformats.org/officeDocument/2006/relationships/externalLink" Target="externalLinks/externalLink606.xml"/><Relationship Id="rId1059" Type="http://schemas.openxmlformats.org/officeDocument/2006/relationships/externalLink" Target="externalLinks/externalLink1029.xml"/><Relationship Id="rId843" Type="http://schemas.openxmlformats.org/officeDocument/2006/relationships/externalLink" Target="externalLinks/externalLink813.xml"/><Relationship Id="rId1126" Type="http://schemas.openxmlformats.org/officeDocument/2006/relationships/externalLink" Target="externalLinks/externalLink1096.xml"/><Relationship Id="rId275" Type="http://schemas.openxmlformats.org/officeDocument/2006/relationships/externalLink" Target="externalLinks/externalLink245.xml"/><Relationship Id="rId482" Type="http://schemas.openxmlformats.org/officeDocument/2006/relationships/externalLink" Target="externalLinks/externalLink452.xml"/><Relationship Id="rId703" Type="http://schemas.openxmlformats.org/officeDocument/2006/relationships/externalLink" Target="externalLinks/externalLink673.xml"/><Relationship Id="rId910" Type="http://schemas.openxmlformats.org/officeDocument/2006/relationships/externalLink" Target="externalLinks/externalLink880.xml"/><Relationship Id="rId135" Type="http://schemas.openxmlformats.org/officeDocument/2006/relationships/externalLink" Target="externalLinks/externalLink105.xml"/><Relationship Id="rId342" Type="http://schemas.openxmlformats.org/officeDocument/2006/relationships/externalLink" Target="externalLinks/externalLink312.xml"/><Relationship Id="rId787" Type="http://schemas.openxmlformats.org/officeDocument/2006/relationships/externalLink" Target="externalLinks/externalLink757.xml"/><Relationship Id="rId994" Type="http://schemas.openxmlformats.org/officeDocument/2006/relationships/externalLink" Target="externalLinks/externalLink964.xml"/><Relationship Id="rId202" Type="http://schemas.openxmlformats.org/officeDocument/2006/relationships/externalLink" Target="externalLinks/externalLink172.xml"/><Relationship Id="rId647" Type="http://schemas.openxmlformats.org/officeDocument/2006/relationships/externalLink" Target="externalLinks/externalLink617.xml"/><Relationship Id="rId854" Type="http://schemas.openxmlformats.org/officeDocument/2006/relationships/externalLink" Target="externalLinks/externalLink824.xml"/><Relationship Id="rId286" Type="http://schemas.openxmlformats.org/officeDocument/2006/relationships/externalLink" Target="externalLinks/externalLink256.xml"/><Relationship Id="rId493" Type="http://schemas.openxmlformats.org/officeDocument/2006/relationships/externalLink" Target="externalLinks/externalLink463.xml"/><Relationship Id="rId507" Type="http://schemas.openxmlformats.org/officeDocument/2006/relationships/externalLink" Target="externalLinks/externalLink477.xml"/><Relationship Id="rId714" Type="http://schemas.openxmlformats.org/officeDocument/2006/relationships/externalLink" Target="externalLinks/externalLink684.xml"/><Relationship Id="rId921" Type="http://schemas.openxmlformats.org/officeDocument/2006/relationships/externalLink" Target="externalLinks/externalLink891.xml"/><Relationship Id="rId1137" Type="http://schemas.openxmlformats.org/officeDocument/2006/relationships/externalLink" Target="externalLinks/externalLink1107.xml"/><Relationship Id="rId50" Type="http://schemas.openxmlformats.org/officeDocument/2006/relationships/externalLink" Target="externalLinks/externalLink20.xml"/><Relationship Id="rId146" Type="http://schemas.openxmlformats.org/officeDocument/2006/relationships/externalLink" Target="externalLinks/externalLink116.xml"/><Relationship Id="rId353" Type="http://schemas.openxmlformats.org/officeDocument/2006/relationships/externalLink" Target="externalLinks/externalLink323.xml"/><Relationship Id="rId560" Type="http://schemas.openxmlformats.org/officeDocument/2006/relationships/externalLink" Target="externalLinks/externalLink530.xml"/><Relationship Id="rId798" Type="http://schemas.openxmlformats.org/officeDocument/2006/relationships/externalLink" Target="externalLinks/externalLink768.xml"/><Relationship Id="rId1190" Type="http://schemas.openxmlformats.org/officeDocument/2006/relationships/externalLink" Target="externalLinks/externalLink1160.xml"/><Relationship Id="rId213" Type="http://schemas.openxmlformats.org/officeDocument/2006/relationships/externalLink" Target="externalLinks/externalLink183.xml"/><Relationship Id="rId420" Type="http://schemas.openxmlformats.org/officeDocument/2006/relationships/externalLink" Target="externalLinks/externalLink390.xml"/><Relationship Id="rId658" Type="http://schemas.openxmlformats.org/officeDocument/2006/relationships/externalLink" Target="externalLinks/externalLink628.xml"/><Relationship Id="rId865" Type="http://schemas.openxmlformats.org/officeDocument/2006/relationships/externalLink" Target="externalLinks/externalLink835.xml"/><Relationship Id="rId1050" Type="http://schemas.openxmlformats.org/officeDocument/2006/relationships/externalLink" Target="externalLinks/externalLink1020.xml"/><Relationship Id="rId297" Type="http://schemas.openxmlformats.org/officeDocument/2006/relationships/externalLink" Target="externalLinks/externalLink267.xml"/><Relationship Id="rId518" Type="http://schemas.openxmlformats.org/officeDocument/2006/relationships/externalLink" Target="externalLinks/externalLink488.xml"/><Relationship Id="rId725" Type="http://schemas.openxmlformats.org/officeDocument/2006/relationships/externalLink" Target="externalLinks/externalLink695.xml"/><Relationship Id="rId932" Type="http://schemas.openxmlformats.org/officeDocument/2006/relationships/externalLink" Target="externalLinks/externalLink902.xml"/><Relationship Id="rId1148" Type="http://schemas.openxmlformats.org/officeDocument/2006/relationships/externalLink" Target="externalLinks/externalLink1118.xml"/><Relationship Id="rId157" Type="http://schemas.openxmlformats.org/officeDocument/2006/relationships/externalLink" Target="externalLinks/externalLink127.xml"/><Relationship Id="rId364" Type="http://schemas.openxmlformats.org/officeDocument/2006/relationships/externalLink" Target="externalLinks/externalLink334.xml"/><Relationship Id="rId1008" Type="http://schemas.openxmlformats.org/officeDocument/2006/relationships/externalLink" Target="externalLinks/externalLink978.xml"/><Relationship Id="rId61" Type="http://schemas.openxmlformats.org/officeDocument/2006/relationships/externalLink" Target="externalLinks/externalLink31.xml"/><Relationship Id="rId571" Type="http://schemas.openxmlformats.org/officeDocument/2006/relationships/externalLink" Target="externalLinks/externalLink541.xml"/><Relationship Id="rId669" Type="http://schemas.openxmlformats.org/officeDocument/2006/relationships/externalLink" Target="externalLinks/externalLink639.xml"/><Relationship Id="rId876" Type="http://schemas.openxmlformats.org/officeDocument/2006/relationships/externalLink" Target="externalLinks/externalLink846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94.xml"/><Relationship Id="rId431" Type="http://schemas.openxmlformats.org/officeDocument/2006/relationships/externalLink" Target="externalLinks/externalLink401.xml"/><Relationship Id="rId529" Type="http://schemas.openxmlformats.org/officeDocument/2006/relationships/externalLink" Target="externalLinks/externalLink499.xml"/><Relationship Id="rId736" Type="http://schemas.openxmlformats.org/officeDocument/2006/relationships/externalLink" Target="externalLinks/externalLink706.xml"/><Relationship Id="rId1061" Type="http://schemas.openxmlformats.org/officeDocument/2006/relationships/externalLink" Target="externalLinks/externalLink1031.xml"/><Relationship Id="rId1159" Type="http://schemas.openxmlformats.org/officeDocument/2006/relationships/externalLink" Target="externalLinks/externalLink1129.xml"/><Relationship Id="rId168" Type="http://schemas.openxmlformats.org/officeDocument/2006/relationships/externalLink" Target="externalLinks/externalLink138.xml"/><Relationship Id="rId943" Type="http://schemas.openxmlformats.org/officeDocument/2006/relationships/externalLink" Target="externalLinks/externalLink913.xml"/><Relationship Id="rId1019" Type="http://schemas.openxmlformats.org/officeDocument/2006/relationships/externalLink" Target="externalLinks/externalLink989.xml"/><Relationship Id="rId72" Type="http://schemas.openxmlformats.org/officeDocument/2006/relationships/externalLink" Target="externalLinks/externalLink42.xml"/><Relationship Id="rId375" Type="http://schemas.openxmlformats.org/officeDocument/2006/relationships/externalLink" Target="externalLinks/externalLink345.xml"/><Relationship Id="rId582" Type="http://schemas.openxmlformats.org/officeDocument/2006/relationships/externalLink" Target="externalLinks/externalLink552.xml"/><Relationship Id="rId803" Type="http://schemas.openxmlformats.org/officeDocument/2006/relationships/externalLink" Target="externalLinks/externalLink773.xml"/><Relationship Id="rId3" Type="http://schemas.openxmlformats.org/officeDocument/2006/relationships/worksheet" Target="worksheets/sheet3.xml"/><Relationship Id="rId235" Type="http://schemas.openxmlformats.org/officeDocument/2006/relationships/externalLink" Target="externalLinks/externalLink205.xml"/><Relationship Id="rId442" Type="http://schemas.openxmlformats.org/officeDocument/2006/relationships/externalLink" Target="externalLinks/externalLink412.xml"/><Relationship Id="rId887" Type="http://schemas.openxmlformats.org/officeDocument/2006/relationships/externalLink" Target="externalLinks/externalLink857.xml"/><Relationship Id="rId1072" Type="http://schemas.openxmlformats.org/officeDocument/2006/relationships/externalLink" Target="externalLinks/externalLink1042.xml"/><Relationship Id="rId302" Type="http://schemas.openxmlformats.org/officeDocument/2006/relationships/externalLink" Target="externalLinks/externalLink272.xml"/><Relationship Id="rId747" Type="http://schemas.openxmlformats.org/officeDocument/2006/relationships/externalLink" Target="externalLinks/externalLink717.xml"/><Relationship Id="rId954" Type="http://schemas.openxmlformats.org/officeDocument/2006/relationships/externalLink" Target="externalLinks/externalLink924.xml"/><Relationship Id="rId83" Type="http://schemas.openxmlformats.org/officeDocument/2006/relationships/externalLink" Target="externalLinks/externalLink53.xml"/><Relationship Id="rId179" Type="http://schemas.openxmlformats.org/officeDocument/2006/relationships/externalLink" Target="externalLinks/externalLink149.xml"/><Relationship Id="rId386" Type="http://schemas.openxmlformats.org/officeDocument/2006/relationships/externalLink" Target="externalLinks/externalLink356.xml"/><Relationship Id="rId593" Type="http://schemas.openxmlformats.org/officeDocument/2006/relationships/externalLink" Target="externalLinks/externalLink563.xml"/><Relationship Id="rId607" Type="http://schemas.openxmlformats.org/officeDocument/2006/relationships/externalLink" Target="externalLinks/externalLink577.xml"/><Relationship Id="rId814" Type="http://schemas.openxmlformats.org/officeDocument/2006/relationships/externalLink" Target="externalLinks/externalLink784.xml"/><Relationship Id="rId246" Type="http://schemas.openxmlformats.org/officeDocument/2006/relationships/externalLink" Target="externalLinks/externalLink216.xml"/><Relationship Id="rId453" Type="http://schemas.openxmlformats.org/officeDocument/2006/relationships/externalLink" Target="externalLinks/externalLink423.xml"/><Relationship Id="rId660" Type="http://schemas.openxmlformats.org/officeDocument/2006/relationships/externalLink" Target="externalLinks/externalLink630.xml"/><Relationship Id="rId898" Type="http://schemas.openxmlformats.org/officeDocument/2006/relationships/externalLink" Target="externalLinks/externalLink868.xml"/><Relationship Id="rId1083" Type="http://schemas.openxmlformats.org/officeDocument/2006/relationships/externalLink" Target="externalLinks/externalLink1053.xml"/><Relationship Id="rId106" Type="http://schemas.openxmlformats.org/officeDocument/2006/relationships/externalLink" Target="externalLinks/externalLink76.xml"/><Relationship Id="rId313" Type="http://schemas.openxmlformats.org/officeDocument/2006/relationships/externalLink" Target="externalLinks/externalLink283.xml"/><Relationship Id="rId758" Type="http://schemas.openxmlformats.org/officeDocument/2006/relationships/externalLink" Target="externalLinks/externalLink728.xml"/><Relationship Id="rId965" Type="http://schemas.openxmlformats.org/officeDocument/2006/relationships/externalLink" Target="externalLinks/externalLink935.xml"/><Relationship Id="rId1150" Type="http://schemas.openxmlformats.org/officeDocument/2006/relationships/externalLink" Target="externalLinks/externalLink1120.xml"/><Relationship Id="rId10" Type="http://schemas.openxmlformats.org/officeDocument/2006/relationships/worksheet" Target="worksheets/sheet10.xml"/><Relationship Id="rId94" Type="http://schemas.openxmlformats.org/officeDocument/2006/relationships/externalLink" Target="externalLinks/externalLink64.xml"/><Relationship Id="rId397" Type="http://schemas.openxmlformats.org/officeDocument/2006/relationships/externalLink" Target="externalLinks/externalLink367.xml"/><Relationship Id="rId520" Type="http://schemas.openxmlformats.org/officeDocument/2006/relationships/externalLink" Target="externalLinks/externalLink490.xml"/><Relationship Id="rId618" Type="http://schemas.openxmlformats.org/officeDocument/2006/relationships/externalLink" Target="externalLinks/externalLink588.xml"/><Relationship Id="rId825" Type="http://schemas.openxmlformats.org/officeDocument/2006/relationships/externalLink" Target="externalLinks/externalLink795.xml"/><Relationship Id="rId257" Type="http://schemas.openxmlformats.org/officeDocument/2006/relationships/externalLink" Target="externalLinks/externalLink227.xml"/><Relationship Id="rId464" Type="http://schemas.openxmlformats.org/officeDocument/2006/relationships/externalLink" Target="externalLinks/externalLink434.xml"/><Relationship Id="rId1010" Type="http://schemas.openxmlformats.org/officeDocument/2006/relationships/externalLink" Target="externalLinks/externalLink980.xml"/><Relationship Id="rId1094" Type="http://schemas.openxmlformats.org/officeDocument/2006/relationships/externalLink" Target="externalLinks/externalLink1064.xml"/><Relationship Id="rId1108" Type="http://schemas.openxmlformats.org/officeDocument/2006/relationships/externalLink" Target="externalLinks/externalLink1078.xml"/><Relationship Id="rId117" Type="http://schemas.openxmlformats.org/officeDocument/2006/relationships/externalLink" Target="externalLinks/externalLink87.xml"/><Relationship Id="rId671" Type="http://schemas.openxmlformats.org/officeDocument/2006/relationships/externalLink" Target="externalLinks/externalLink641.xml"/><Relationship Id="rId769" Type="http://schemas.openxmlformats.org/officeDocument/2006/relationships/externalLink" Target="externalLinks/externalLink739.xml"/><Relationship Id="rId976" Type="http://schemas.openxmlformats.org/officeDocument/2006/relationships/externalLink" Target="externalLinks/externalLink946.xml"/><Relationship Id="rId324" Type="http://schemas.openxmlformats.org/officeDocument/2006/relationships/externalLink" Target="externalLinks/externalLink294.xml"/><Relationship Id="rId531" Type="http://schemas.openxmlformats.org/officeDocument/2006/relationships/externalLink" Target="externalLinks/externalLink501.xml"/><Relationship Id="rId629" Type="http://schemas.openxmlformats.org/officeDocument/2006/relationships/externalLink" Target="externalLinks/externalLink599.xml"/><Relationship Id="rId1161" Type="http://schemas.openxmlformats.org/officeDocument/2006/relationships/externalLink" Target="externalLinks/externalLink1131.xml"/><Relationship Id="rId836" Type="http://schemas.openxmlformats.org/officeDocument/2006/relationships/externalLink" Target="externalLinks/externalLink806.xml"/><Relationship Id="rId1021" Type="http://schemas.openxmlformats.org/officeDocument/2006/relationships/externalLink" Target="externalLinks/externalLink991.xml"/><Relationship Id="rId1119" Type="http://schemas.openxmlformats.org/officeDocument/2006/relationships/externalLink" Target="externalLinks/externalLink1089.xml"/><Relationship Id="rId903" Type="http://schemas.openxmlformats.org/officeDocument/2006/relationships/externalLink" Target="externalLinks/externalLink873.xml"/><Relationship Id="rId32" Type="http://schemas.openxmlformats.org/officeDocument/2006/relationships/externalLink" Target="externalLinks/externalLink2.xml"/><Relationship Id="rId181" Type="http://schemas.openxmlformats.org/officeDocument/2006/relationships/externalLink" Target="externalLinks/externalLink151.xml"/><Relationship Id="rId279" Type="http://schemas.openxmlformats.org/officeDocument/2006/relationships/externalLink" Target="externalLinks/externalLink249.xml"/><Relationship Id="rId486" Type="http://schemas.openxmlformats.org/officeDocument/2006/relationships/externalLink" Target="externalLinks/externalLink456.xml"/><Relationship Id="rId693" Type="http://schemas.openxmlformats.org/officeDocument/2006/relationships/externalLink" Target="externalLinks/externalLink663.xml"/><Relationship Id="rId139" Type="http://schemas.openxmlformats.org/officeDocument/2006/relationships/externalLink" Target="externalLinks/externalLink109.xml"/><Relationship Id="rId346" Type="http://schemas.openxmlformats.org/officeDocument/2006/relationships/externalLink" Target="externalLinks/externalLink316.xml"/><Relationship Id="rId553" Type="http://schemas.openxmlformats.org/officeDocument/2006/relationships/externalLink" Target="externalLinks/externalLink523.xml"/><Relationship Id="rId760" Type="http://schemas.openxmlformats.org/officeDocument/2006/relationships/externalLink" Target="externalLinks/externalLink730.xml"/><Relationship Id="rId998" Type="http://schemas.openxmlformats.org/officeDocument/2006/relationships/externalLink" Target="externalLinks/externalLink968.xml"/><Relationship Id="rId1183" Type="http://schemas.openxmlformats.org/officeDocument/2006/relationships/externalLink" Target="externalLinks/externalLink1153.xml"/><Relationship Id="rId206" Type="http://schemas.openxmlformats.org/officeDocument/2006/relationships/externalLink" Target="externalLinks/externalLink176.xml"/><Relationship Id="rId413" Type="http://schemas.openxmlformats.org/officeDocument/2006/relationships/externalLink" Target="externalLinks/externalLink383.xml"/><Relationship Id="rId858" Type="http://schemas.openxmlformats.org/officeDocument/2006/relationships/externalLink" Target="externalLinks/externalLink828.xml"/><Relationship Id="rId1043" Type="http://schemas.openxmlformats.org/officeDocument/2006/relationships/externalLink" Target="externalLinks/externalLink1013.xml"/><Relationship Id="rId620" Type="http://schemas.openxmlformats.org/officeDocument/2006/relationships/externalLink" Target="externalLinks/externalLink590.xml"/><Relationship Id="rId718" Type="http://schemas.openxmlformats.org/officeDocument/2006/relationships/externalLink" Target="externalLinks/externalLink688.xml"/><Relationship Id="rId925" Type="http://schemas.openxmlformats.org/officeDocument/2006/relationships/externalLink" Target="externalLinks/externalLink895.xml"/><Relationship Id="rId1110" Type="http://schemas.openxmlformats.org/officeDocument/2006/relationships/externalLink" Target="externalLinks/externalLink1080.xml"/><Relationship Id="rId54" Type="http://schemas.openxmlformats.org/officeDocument/2006/relationships/externalLink" Target="externalLinks/externalLink24.xml"/><Relationship Id="rId270" Type="http://schemas.openxmlformats.org/officeDocument/2006/relationships/externalLink" Target="externalLinks/externalLink240.xml"/><Relationship Id="rId130" Type="http://schemas.openxmlformats.org/officeDocument/2006/relationships/externalLink" Target="externalLinks/externalLink100.xml"/><Relationship Id="rId368" Type="http://schemas.openxmlformats.org/officeDocument/2006/relationships/externalLink" Target="externalLinks/externalLink338.xml"/><Relationship Id="rId575" Type="http://schemas.openxmlformats.org/officeDocument/2006/relationships/externalLink" Target="externalLinks/externalLink545.xml"/><Relationship Id="rId782" Type="http://schemas.openxmlformats.org/officeDocument/2006/relationships/externalLink" Target="externalLinks/externalLink752.xml"/><Relationship Id="rId228" Type="http://schemas.openxmlformats.org/officeDocument/2006/relationships/externalLink" Target="externalLinks/externalLink198.xml"/><Relationship Id="rId435" Type="http://schemas.openxmlformats.org/officeDocument/2006/relationships/externalLink" Target="externalLinks/externalLink405.xml"/><Relationship Id="rId642" Type="http://schemas.openxmlformats.org/officeDocument/2006/relationships/externalLink" Target="externalLinks/externalLink612.xml"/><Relationship Id="rId1065" Type="http://schemas.openxmlformats.org/officeDocument/2006/relationships/externalLink" Target="externalLinks/externalLink1035.xml"/><Relationship Id="rId502" Type="http://schemas.openxmlformats.org/officeDocument/2006/relationships/externalLink" Target="externalLinks/externalLink472.xml"/><Relationship Id="rId947" Type="http://schemas.openxmlformats.org/officeDocument/2006/relationships/externalLink" Target="externalLinks/externalLink917.xml"/><Relationship Id="rId1132" Type="http://schemas.openxmlformats.org/officeDocument/2006/relationships/externalLink" Target="externalLinks/externalLink1102.xml"/><Relationship Id="rId76" Type="http://schemas.openxmlformats.org/officeDocument/2006/relationships/externalLink" Target="externalLinks/externalLink46.xml"/><Relationship Id="rId807" Type="http://schemas.openxmlformats.org/officeDocument/2006/relationships/externalLink" Target="externalLinks/externalLink777.xml"/><Relationship Id="rId292" Type="http://schemas.openxmlformats.org/officeDocument/2006/relationships/externalLink" Target="externalLinks/externalLink262.xml"/><Relationship Id="rId597" Type="http://schemas.openxmlformats.org/officeDocument/2006/relationships/externalLink" Target="externalLinks/externalLink567.xml"/><Relationship Id="rId152" Type="http://schemas.openxmlformats.org/officeDocument/2006/relationships/externalLink" Target="externalLinks/externalLink122.xml"/><Relationship Id="rId457" Type="http://schemas.openxmlformats.org/officeDocument/2006/relationships/externalLink" Target="externalLinks/externalLink427.xml"/><Relationship Id="rId1087" Type="http://schemas.openxmlformats.org/officeDocument/2006/relationships/externalLink" Target="externalLinks/externalLink1057.xml"/><Relationship Id="rId664" Type="http://schemas.openxmlformats.org/officeDocument/2006/relationships/externalLink" Target="externalLinks/externalLink634.xml"/><Relationship Id="rId871" Type="http://schemas.openxmlformats.org/officeDocument/2006/relationships/externalLink" Target="externalLinks/externalLink841.xml"/><Relationship Id="rId969" Type="http://schemas.openxmlformats.org/officeDocument/2006/relationships/externalLink" Target="externalLinks/externalLink939.xml"/><Relationship Id="rId317" Type="http://schemas.openxmlformats.org/officeDocument/2006/relationships/externalLink" Target="externalLinks/externalLink287.xml"/><Relationship Id="rId524" Type="http://schemas.openxmlformats.org/officeDocument/2006/relationships/externalLink" Target="externalLinks/externalLink494.xml"/><Relationship Id="rId731" Type="http://schemas.openxmlformats.org/officeDocument/2006/relationships/externalLink" Target="externalLinks/externalLink701.xml"/><Relationship Id="rId1154" Type="http://schemas.openxmlformats.org/officeDocument/2006/relationships/externalLink" Target="externalLinks/externalLink1124.xml"/><Relationship Id="rId98" Type="http://schemas.openxmlformats.org/officeDocument/2006/relationships/externalLink" Target="externalLinks/externalLink68.xml"/><Relationship Id="rId829" Type="http://schemas.openxmlformats.org/officeDocument/2006/relationships/externalLink" Target="externalLinks/externalLink799.xml"/><Relationship Id="rId1014" Type="http://schemas.openxmlformats.org/officeDocument/2006/relationships/externalLink" Target="externalLinks/externalLink984.xml"/><Relationship Id="rId25" Type="http://schemas.openxmlformats.org/officeDocument/2006/relationships/worksheet" Target="worksheets/sheet25.xml"/><Relationship Id="rId174" Type="http://schemas.openxmlformats.org/officeDocument/2006/relationships/externalLink" Target="externalLinks/externalLink144.xml"/><Relationship Id="rId381" Type="http://schemas.openxmlformats.org/officeDocument/2006/relationships/externalLink" Target="externalLinks/externalLink351.xml"/><Relationship Id="rId241" Type="http://schemas.openxmlformats.org/officeDocument/2006/relationships/externalLink" Target="externalLinks/externalLink211.xml"/><Relationship Id="rId479" Type="http://schemas.openxmlformats.org/officeDocument/2006/relationships/externalLink" Target="externalLinks/externalLink449.xml"/><Relationship Id="rId686" Type="http://schemas.openxmlformats.org/officeDocument/2006/relationships/externalLink" Target="externalLinks/externalLink656.xml"/><Relationship Id="rId893" Type="http://schemas.openxmlformats.org/officeDocument/2006/relationships/externalLink" Target="externalLinks/externalLink863.xml"/><Relationship Id="rId339" Type="http://schemas.openxmlformats.org/officeDocument/2006/relationships/externalLink" Target="externalLinks/externalLink309.xml"/><Relationship Id="rId546" Type="http://schemas.openxmlformats.org/officeDocument/2006/relationships/externalLink" Target="externalLinks/externalLink516.xml"/><Relationship Id="rId753" Type="http://schemas.openxmlformats.org/officeDocument/2006/relationships/externalLink" Target="externalLinks/externalLink723.xml"/><Relationship Id="rId1176" Type="http://schemas.openxmlformats.org/officeDocument/2006/relationships/externalLink" Target="externalLinks/externalLink1146.xml"/><Relationship Id="rId101" Type="http://schemas.openxmlformats.org/officeDocument/2006/relationships/externalLink" Target="externalLinks/externalLink71.xml"/><Relationship Id="rId406" Type="http://schemas.openxmlformats.org/officeDocument/2006/relationships/externalLink" Target="externalLinks/externalLink376.xml"/><Relationship Id="rId960" Type="http://schemas.openxmlformats.org/officeDocument/2006/relationships/externalLink" Target="externalLinks/externalLink930.xml"/><Relationship Id="rId1036" Type="http://schemas.openxmlformats.org/officeDocument/2006/relationships/externalLink" Target="externalLinks/externalLink1006.xml"/><Relationship Id="rId613" Type="http://schemas.openxmlformats.org/officeDocument/2006/relationships/externalLink" Target="externalLinks/externalLink583.xml"/><Relationship Id="rId820" Type="http://schemas.openxmlformats.org/officeDocument/2006/relationships/externalLink" Target="externalLinks/externalLink790.xml"/><Relationship Id="rId918" Type="http://schemas.openxmlformats.org/officeDocument/2006/relationships/externalLink" Target="externalLinks/externalLink888.xml"/><Relationship Id="rId1103" Type="http://schemas.openxmlformats.org/officeDocument/2006/relationships/externalLink" Target="externalLinks/externalLink1073.xml"/><Relationship Id="rId47" Type="http://schemas.openxmlformats.org/officeDocument/2006/relationships/externalLink" Target="externalLinks/externalLink17.xml"/><Relationship Id="rId196" Type="http://schemas.openxmlformats.org/officeDocument/2006/relationships/externalLink" Target="externalLinks/externalLink166.xml"/><Relationship Id="rId263" Type="http://schemas.openxmlformats.org/officeDocument/2006/relationships/externalLink" Target="externalLinks/externalLink233.xml"/><Relationship Id="rId470" Type="http://schemas.openxmlformats.org/officeDocument/2006/relationships/externalLink" Target="externalLinks/externalLink440.xml"/><Relationship Id="rId123" Type="http://schemas.openxmlformats.org/officeDocument/2006/relationships/externalLink" Target="externalLinks/externalLink93.xml"/><Relationship Id="rId330" Type="http://schemas.openxmlformats.org/officeDocument/2006/relationships/externalLink" Target="externalLinks/externalLink300.xml"/><Relationship Id="rId568" Type="http://schemas.openxmlformats.org/officeDocument/2006/relationships/externalLink" Target="externalLinks/externalLink538.xml"/><Relationship Id="rId775" Type="http://schemas.openxmlformats.org/officeDocument/2006/relationships/externalLink" Target="externalLinks/externalLink745.xml"/><Relationship Id="rId982" Type="http://schemas.openxmlformats.org/officeDocument/2006/relationships/externalLink" Target="externalLinks/externalLink952.xml"/><Relationship Id="rId1198" Type="http://schemas.openxmlformats.org/officeDocument/2006/relationships/styles" Target="styles.xml"/><Relationship Id="rId428" Type="http://schemas.openxmlformats.org/officeDocument/2006/relationships/externalLink" Target="externalLinks/externalLink398.xml"/><Relationship Id="rId635" Type="http://schemas.openxmlformats.org/officeDocument/2006/relationships/externalLink" Target="externalLinks/externalLink605.xml"/><Relationship Id="rId842" Type="http://schemas.openxmlformats.org/officeDocument/2006/relationships/externalLink" Target="externalLinks/externalLink812.xml"/><Relationship Id="rId1058" Type="http://schemas.openxmlformats.org/officeDocument/2006/relationships/externalLink" Target="externalLinks/externalLink1028.xml"/><Relationship Id="rId702" Type="http://schemas.openxmlformats.org/officeDocument/2006/relationships/externalLink" Target="externalLinks/externalLink672.xml"/><Relationship Id="rId1125" Type="http://schemas.openxmlformats.org/officeDocument/2006/relationships/externalLink" Target="externalLinks/externalLink1095.xml"/><Relationship Id="rId69" Type="http://schemas.openxmlformats.org/officeDocument/2006/relationships/externalLink" Target="externalLinks/externalLink39.xml"/><Relationship Id="rId285" Type="http://schemas.openxmlformats.org/officeDocument/2006/relationships/externalLink" Target="externalLinks/externalLink255.xml"/><Relationship Id="rId492" Type="http://schemas.openxmlformats.org/officeDocument/2006/relationships/externalLink" Target="externalLinks/externalLink462.xml"/><Relationship Id="rId797" Type="http://schemas.openxmlformats.org/officeDocument/2006/relationships/externalLink" Target="externalLinks/externalLink767.xml"/><Relationship Id="rId145" Type="http://schemas.openxmlformats.org/officeDocument/2006/relationships/externalLink" Target="externalLinks/externalLink115.xml"/><Relationship Id="rId352" Type="http://schemas.openxmlformats.org/officeDocument/2006/relationships/externalLink" Target="externalLinks/externalLink322.xml"/><Relationship Id="rId212" Type="http://schemas.openxmlformats.org/officeDocument/2006/relationships/externalLink" Target="externalLinks/externalLink182.xml"/><Relationship Id="rId657" Type="http://schemas.openxmlformats.org/officeDocument/2006/relationships/externalLink" Target="externalLinks/externalLink627.xml"/><Relationship Id="rId864" Type="http://schemas.openxmlformats.org/officeDocument/2006/relationships/externalLink" Target="externalLinks/externalLink8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troducci&#243;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57150</xdr:colOff>
      <xdr:row>9</xdr:row>
      <xdr:rowOff>28575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453515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DE LITIGIOSIDAD POR J</a:t>
          </a:r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URISDICCIONES Y PROVINCIAS</a:t>
          </a:r>
        </a:p>
        <a:p>
          <a:pPr marL="72000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  <a:p>
          <a:pPr marL="72000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</a:t>
          </a:r>
          <a:r>
            <a:rPr lang="es-ES" sz="1400" b="1" baseline="0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2001-2022</a:t>
          </a:r>
          <a:endParaRPr lang="es-ES" sz="1400" b="1">
            <a:solidFill>
              <a:schemeClr val="lt1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123825</xdr:colOff>
      <xdr:row>0</xdr:row>
      <xdr:rowOff>123825</xdr:rowOff>
    </xdr:from>
    <xdr:to>
      <xdr:col>1</xdr:col>
      <xdr:colOff>291184</xdr:colOff>
      <xdr:row>8</xdr:row>
      <xdr:rowOff>76201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9" t="5882" r="8133" b="4411"/>
        <a:stretch/>
      </xdr:blipFill>
      <xdr:spPr bwMode="auto">
        <a:xfrm>
          <a:off x="123825" y="123825"/>
          <a:ext cx="929359" cy="1247776"/>
        </a:xfrm>
        <a:prstGeom prst="roundRect">
          <a:avLst>
            <a:gd name="adj" fmla="val 15919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352425</xdr:colOff>
      <xdr:row>5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04825" y="1619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2019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38100</xdr:colOff>
      <xdr:row>1</xdr:row>
      <xdr:rowOff>152400</xdr:rowOff>
    </xdr:from>
    <xdr:to>
      <xdr:col>15</xdr:col>
      <xdr:colOff>19050</xdr:colOff>
      <xdr:row>5</xdr:row>
      <xdr:rowOff>76200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2115800" y="3143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352425</xdr:colOff>
      <xdr:row>5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504825" y="1619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2018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38100</xdr:colOff>
      <xdr:row>1</xdr:row>
      <xdr:rowOff>152400</xdr:rowOff>
    </xdr:from>
    <xdr:to>
      <xdr:col>15</xdr:col>
      <xdr:colOff>19050</xdr:colOff>
      <xdr:row>5</xdr:row>
      <xdr:rowOff>76200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2115800" y="3143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504825" y="0"/>
          <a:ext cx="1120140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2017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19050</xdr:colOff>
      <xdr:row>0</xdr:row>
      <xdr:rowOff>76200</xdr:rowOff>
    </xdr:from>
    <xdr:to>
      <xdr:col>15</xdr:col>
      <xdr:colOff>0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2096750" y="76200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504825" y="0"/>
          <a:ext cx="114871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2016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28575</xdr:colOff>
      <xdr:row>0</xdr:row>
      <xdr:rowOff>85725</xdr:rowOff>
    </xdr:from>
    <xdr:to>
      <xdr:col>14</xdr:col>
      <xdr:colOff>723900</xdr:colOff>
      <xdr:row>4</xdr:row>
      <xdr:rowOff>9525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2439650" y="857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504825" y="0"/>
          <a:ext cx="114871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2015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0</xdr:row>
      <xdr:rowOff>76200</xdr:rowOff>
    </xdr:from>
    <xdr:to>
      <xdr:col>14</xdr:col>
      <xdr:colOff>695325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2411075" y="76200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04825" y="0"/>
          <a:ext cx="114871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2014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742950</xdr:colOff>
      <xdr:row>0</xdr:row>
      <xdr:rowOff>85725</xdr:rowOff>
    </xdr:from>
    <xdr:to>
      <xdr:col>14</xdr:col>
      <xdr:colOff>676275</xdr:colOff>
      <xdr:row>4</xdr:row>
      <xdr:rowOff>9525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2392025" y="857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504825" y="0"/>
          <a:ext cx="114871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2013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714375</xdr:colOff>
      <xdr:row>0</xdr:row>
      <xdr:rowOff>104775</xdr:rowOff>
    </xdr:from>
    <xdr:to>
      <xdr:col>14</xdr:col>
      <xdr:colOff>647700</xdr:colOff>
      <xdr:row>4</xdr:row>
      <xdr:rowOff>28575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12363450" y="10477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504825" y="0"/>
          <a:ext cx="114871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47625</xdr:colOff>
      <xdr:row>0</xdr:row>
      <xdr:rowOff>66675</xdr:rowOff>
    </xdr:from>
    <xdr:to>
      <xdr:col>14</xdr:col>
      <xdr:colOff>742950</xdr:colOff>
      <xdr:row>3</xdr:row>
      <xdr:rowOff>152400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12458700" y="6667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504825" y="0"/>
          <a:ext cx="114871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38100</xdr:colOff>
      <xdr:row>0</xdr:row>
      <xdr:rowOff>123825</xdr:rowOff>
    </xdr:from>
    <xdr:to>
      <xdr:col>14</xdr:col>
      <xdr:colOff>733425</xdr:colOff>
      <xdr:row>4</xdr:row>
      <xdr:rowOff>47625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2449175" y="1238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504825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2010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13</xdr:col>
      <xdr:colOff>752475</xdr:colOff>
      <xdr:row>0</xdr:row>
      <xdr:rowOff>76200</xdr:rowOff>
    </xdr:from>
    <xdr:to>
      <xdr:col>14</xdr:col>
      <xdr:colOff>685800</xdr:colOff>
      <xdr:row>4</xdr:row>
      <xdr:rowOff>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12287250" y="76200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18</xdr:col>
      <xdr:colOff>228600</xdr:colOff>
      <xdr:row>4</xdr:row>
      <xdr:rowOff>47625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81025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LITIGIOSIDAD/ TOTAL JURISDICCIONES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18</xdr:col>
      <xdr:colOff>542925</xdr:colOff>
      <xdr:row>0</xdr:row>
      <xdr:rowOff>152400</xdr:rowOff>
    </xdr:from>
    <xdr:to>
      <xdr:col>20</xdr:col>
      <xdr:colOff>133350</xdr:colOff>
      <xdr:row>4</xdr:row>
      <xdr:rowOff>19050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106275" y="152400"/>
          <a:ext cx="6953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504825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2009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12296775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457200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2008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2249150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62000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2007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12553950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762000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2006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12553950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762000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2005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12553950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762000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2004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2553950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762000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2003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2553950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762000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12553950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342900</xdr:colOff>
      <xdr:row>4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762000" y="0"/>
          <a:ext cx="11372850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2001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695325</xdr:colOff>
      <xdr:row>4</xdr:row>
      <xdr:rowOff>85725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12553950" y="1619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142875</xdr:colOff>
      <xdr:row>4</xdr:row>
      <xdr:rowOff>142875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62000" y="0"/>
          <a:ext cx="11210925" cy="790575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 TASA LITIGIOSIDAD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    POBLACIONES POR PROVINCIA     PERÍODO 2001/2021              </a:t>
          </a:r>
        </a:p>
      </xdr:txBody>
    </xdr:sp>
    <xdr:clientData/>
  </xdr:twoCellAnchor>
  <xdr:twoCellAnchor>
    <xdr:from>
      <xdr:col>11</xdr:col>
      <xdr:colOff>333375</xdr:colOff>
      <xdr:row>1</xdr:row>
      <xdr:rowOff>9525</xdr:rowOff>
    </xdr:from>
    <xdr:to>
      <xdr:col>12</xdr:col>
      <xdr:colOff>9525</xdr:colOff>
      <xdr:row>4</xdr:row>
      <xdr:rowOff>95250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2163425" y="171450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47625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15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LITIGIOSIDAD/JURISDICCIÓN CIVIL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295275</xdr:colOff>
      <xdr:row>0</xdr:row>
      <xdr:rowOff>152400</xdr:rowOff>
    </xdr:from>
    <xdr:to>
      <xdr:col>22</xdr:col>
      <xdr:colOff>9525</xdr:colOff>
      <xdr:row>4</xdr:row>
      <xdr:rowOff>47625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2096750" y="152400"/>
          <a:ext cx="723900" cy="571500"/>
        </a:xfrm>
        <a:prstGeom prst="leftArrow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18</xdr:col>
      <xdr:colOff>266700</xdr:colOff>
      <xdr:row>4</xdr:row>
      <xdr:rowOff>47625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572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LITIGIOSIDAD/JURISDICCIÓN PENAL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19</xdr:col>
      <xdr:colOff>133350</xdr:colOff>
      <xdr:row>1</xdr:row>
      <xdr:rowOff>9525</xdr:rowOff>
    </xdr:from>
    <xdr:to>
      <xdr:col>20</xdr:col>
      <xdr:colOff>352425</xdr:colOff>
      <xdr:row>4</xdr:row>
      <xdr:rowOff>95250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2049125" y="200025"/>
          <a:ext cx="7334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47625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6200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LITIGIOSIDAD/JURISDICCIÓN CONTENCIOSA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76199</xdr:colOff>
      <xdr:row>1</xdr:row>
      <xdr:rowOff>19050</xdr:rowOff>
    </xdr:from>
    <xdr:to>
      <xdr:col>21</xdr:col>
      <xdr:colOff>266699</xdr:colOff>
      <xdr:row>4</xdr:row>
      <xdr:rowOff>104775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2068174" y="209550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19</xdr:col>
      <xdr:colOff>485775</xdr:colOff>
      <xdr:row>4</xdr:row>
      <xdr:rowOff>47625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00050" y="0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TASA LITIGIOSIDAD/JURISDICCIÓN CONTENCIOSA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PERÍODO 2001 - 2022</a:t>
          </a:r>
        </a:p>
      </xdr:txBody>
    </xdr:sp>
    <xdr:clientData/>
  </xdr:twoCellAnchor>
  <xdr:twoCellAnchor>
    <xdr:from>
      <xdr:col>20</xdr:col>
      <xdr:colOff>161924</xdr:colOff>
      <xdr:row>0</xdr:row>
      <xdr:rowOff>133350</xdr:rowOff>
    </xdr:from>
    <xdr:to>
      <xdr:col>21</xdr:col>
      <xdr:colOff>352424</xdr:colOff>
      <xdr:row>4</xdr:row>
      <xdr:rowOff>28575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1791949" y="133350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352425</xdr:colOff>
      <xdr:row>5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8D27BB02-F088-4355-9629-F1AEFB194D72}"/>
            </a:ext>
          </a:extLst>
        </xdr:cNvPr>
        <xdr:cNvSpPr/>
      </xdr:nvSpPr>
      <xdr:spPr>
        <a:xfrm>
          <a:off x="518160" y="160020"/>
          <a:ext cx="11492865" cy="71628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2022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38100</xdr:colOff>
      <xdr:row>1</xdr:row>
      <xdr:rowOff>152400</xdr:rowOff>
    </xdr:from>
    <xdr:to>
      <xdr:col>15</xdr:col>
      <xdr:colOff>19050</xdr:colOff>
      <xdr:row>5</xdr:row>
      <xdr:rowOff>76200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CDD9B-FB4C-49AD-BC0B-8B0B4F5A5DBE}"/>
            </a:ext>
          </a:extLst>
        </xdr:cNvPr>
        <xdr:cNvSpPr/>
      </xdr:nvSpPr>
      <xdr:spPr>
        <a:xfrm>
          <a:off x="12428220" y="312420"/>
          <a:ext cx="712470" cy="56388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352425</xdr:colOff>
      <xdr:row>5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8182B61B-49CC-4AC9-94CA-3B05AA78465C}"/>
            </a:ext>
          </a:extLst>
        </xdr:cNvPr>
        <xdr:cNvSpPr/>
      </xdr:nvSpPr>
      <xdr:spPr>
        <a:xfrm>
          <a:off x="504825" y="1619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2021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38100</xdr:colOff>
      <xdr:row>1</xdr:row>
      <xdr:rowOff>152400</xdr:rowOff>
    </xdr:from>
    <xdr:to>
      <xdr:col>15</xdr:col>
      <xdr:colOff>19050</xdr:colOff>
      <xdr:row>5</xdr:row>
      <xdr:rowOff>76200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43FE-1F87-486B-841C-6CB9684ED851}"/>
            </a:ext>
          </a:extLst>
        </xdr:cNvPr>
        <xdr:cNvSpPr/>
      </xdr:nvSpPr>
      <xdr:spPr>
        <a:xfrm>
          <a:off x="12115800" y="3143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352425</xdr:colOff>
      <xdr:row>5</xdr:row>
      <xdr:rowOff>76200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04825" y="161925"/>
          <a:ext cx="11210925" cy="723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SERIES TASA LITIGIOSIDAD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/AÑO 2020</a:t>
          </a:r>
        </a:p>
        <a:p>
          <a:pPr marL="0" algn="ctr"/>
          <a:r>
            <a:rPr lang="es-ES" sz="1400" b="1" cap="all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TODAS LAS JURISDICCIONES              </a:t>
          </a:r>
        </a:p>
      </xdr:txBody>
    </xdr:sp>
    <xdr:clientData/>
  </xdr:twoCellAnchor>
  <xdr:twoCellAnchor>
    <xdr:from>
      <xdr:col>14</xdr:col>
      <xdr:colOff>38100</xdr:colOff>
      <xdr:row>1</xdr:row>
      <xdr:rowOff>152400</xdr:rowOff>
    </xdr:from>
    <xdr:to>
      <xdr:col>15</xdr:col>
      <xdr:colOff>19050</xdr:colOff>
      <xdr:row>5</xdr:row>
      <xdr:rowOff>76200</xdr:rowOff>
    </xdr:to>
    <xdr:sp macro="" textlink="">
      <xdr:nvSpPr>
        <xdr:cNvPr id="3" name="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2115800" y="314325"/>
          <a:ext cx="6953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BACETE-1-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IZKAIA-1-4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VALENCIA-1-4.xlsx" TargetMode="External"/></Relationships>
</file>

<file path=xl/externalLinks/_rels/externalLink10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OLEDO-1-4.xls" TargetMode="External"/></Relationships>
</file>

<file path=xl/externalLinks/_rels/externalLink10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VALENCIA-1-4.xls" TargetMode="External"/></Relationships>
</file>

<file path=xl/externalLinks/_rels/externalLink10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VALLADOLID-1-4.xls" TargetMode="External"/></Relationships>
</file>

<file path=xl/externalLinks/_rels/externalLink10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ZAMORA-1-4.xls" TargetMode="External"/></Relationships>
</file>

<file path=xl/externalLinks/_rels/externalLink10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ZARAGOZA-1-4.xls" TargetMode="External"/></Relationships>
</file>

<file path=xl/externalLinks/_rels/externalLink10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EUTA-1-4.xls" TargetMode="External"/></Relationships>
</file>

<file path=xl/externalLinks/_rels/externalLink10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ELILLA-1-4.xls" TargetMode="External"/></Relationships>
</file>

<file path=xl/externalLinks/_rels/externalLink10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Nacional-1-4.xls" TargetMode="External"/></Relationships>
</file>

<file path=xl/externalLinks/_rels/externalLink10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BACETE-1-4.xls" TargetMode="External"/></Relationships>
</file>

<file path=xl/externalLinks/_rels/externalLink10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ICANTE-ALACANT-1-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VALLADOLID-1-4.xlsx" TargetMode="External"/></Relationships>
</file>

<file path=xl/externalLinks/_rels/externalLink10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LMERIA-1-4.xls" TargetMode="External"/></Relationships>
</file>

<file path=xl/externalLinks/_rels/externalLink10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RABA-ALAVA-1-4.xls" TargetMode="External"/></Relationships>
</file>

<file path=xl/externalLinks/_rels/externalLink10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STURIAS-1-4.xls" TargetMode="External"/></Relationships>
</file>

<file path=xl/externalLinks/_rels/externalLink10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VILA-1-4.xls" TargetMode="External"/></Relationships>
</file>

<file path=xl/externalLinks/_rels/externalLink10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ADAJOZ-1-4.xls" TargetMode="External"/></Relationships>
</file>

<file path=xl/externalLinks/_rels/externalLink10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ILLES%20BALEARS-1-4.xls" TargetMode="External"/></Relationships>
</file>

<file path=xl/externalLinks/_rels/externalLink10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ARCELONA-1-4.xls" TargetMode="External"/></Relationships>
</file>

<file path=xl/externalLinks/_rels/externalLink10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IZKAIA-1-4.xls" TargetMode="External"/></Relationships>
</file>

<file path=xl/externalLinks/_rels/externalLink10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BURGOS-1-4.xls" TargetMode="External"/></Relationships>
</file>

<file path=xl/externalLinks/_rels/externalLink10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CERES-1-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ZAMORA-1-4.xlsx" TargetMode="External"/></Relationships>
</file>

<file path=xl/externalLinks/_rels/externalLink10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DIZ-1-4.xls" TargetMode="External"/></Relationships>
</file>

<file path=xl/externalLinks/_rels/externalLink10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NTABRIA-1-4.xls" TargetMode="External"/></Relationships>
</file>

<file path=xl/externalLinks/_rels/externalLink10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ASTELLON-CASTELLO-1-4.xls" TargetMode="External"/></Relationships>
</file>

<file path=xl/externalLinks/_rels/externalLink10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IUDAD%20REAL-1-4.xls" TargetMode="External"/></Relationships>
</file>

<file path=xl/externalLinks/_rels/externalLink10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ORDOBA-1-4.xls" TargetMode="External"/></Relationships>
</file>

<file path=xl/externalLinks/_rels/externalLink10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A%20CORU&#209;A-1-4.xls" TargetMode="External"/></Relationships>
</file>

<file path=xl/externalLinks/_rels/externalLink10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UENCA-1-4.xls" TargetMode="External"/></Relationships>
</file>

<file path=xl/externalLinks/_rels/externalLink10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IPUZKOA-1-4.xls" TargetMode="External"/></Relationships>
</file>

<file path=xl/externalLinks/_rels/externalLink10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IRONA-1-4.xls" TargetMode="External"/></Relationships>
</file>

<file path=xl/externalLinks/_rels/externalLink10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RANADA-1-4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ZARAGOZA-1-4.xlsx" TargetMode="External"/></Relationships>
</file>

<file path=xl/externalLinks/_rels/externalLink10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GUADALAJARA-1-4.xls" TargetMode="External"/></Relationships>
</file>

<file path=xl/externalLinks/_rels/externalLink10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HUELVA-1-4.xls" TargetMode="External"/></Relationships>
</file>

<file path=xl/externalLinks/_rels/externalLink10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HUESCA-1-4.xls" TargetMode="External"/></Relationships>
</file>

<file path=xl/externalLinks/_rels/externalLink10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JAEN-1-4.xls" TargetMode="External"/></Relationships>
</file>

<file path=xl/externalLinks/_rels/externalLink10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EON-1-4.xls" TargetMode="External"/></Relationships>
</file>

<file path=xl/externalLinks/_rels/externalLink10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LEIDA-1-4.xls" TargetMode="External"/></Relationships>
</file>

<file path=xl/externalLinks/_rels/externalLink10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UGO-1-4.xls" TargetMode="External"/></Relationships>
</file>

<file path=xl/externalLinks/_rels/externalLink10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ADRID-1-4.xls" TargetMode="External"/></Relationships>
</file>

<file path=xl/externalLinks/_rels/externalLink10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ALAGA-1-4.xls" TargetMode="External"/></Relationships>
</file>

<file path=xl/externalLinks/_rels/externalLink10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URCIA-1-4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EUTA-1-4.xlsx" TargetMode="External"/></Relationships>
</file>

<file path=xl/externalLinks/_rels/externalLink10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NAVARRA-1-4.xls" TargetMode="External"/></Relationships>
</file>

<file path=xl/externalLinks/_rels/externalLink10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OURENSE-1-4.xls" TargetMode="External"/></Relationships>
</file>

<file path=xl/externalLinks/_rels/externalLink10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PALENCIA-1-4.xls" TargetMode="External"/></Relationships>
</file>

<file path=xl/externalLinks/_rels/externalLink10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AS%20PALMAS-1-4.xls" TargetMode="External"/></Relationships>
</file>

<file path=xl/externalLinks/_rels/externalLink10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PONTEVEDRA-1-4.xls" TargetMode="External"/></Relationships>
</file>

<file path=xl/externalLinks/_rels/externalLink10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LA%20RIOJA-1-4.xls" TargetMode="External"/></Relationships>
</file>

<file path=xl/externalLinks/_rels/externalLink10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ALAMANCA-1-4.xls" TargetMode="External"/></Relationships>
</file>

<file path=xl/externalLinks/_rels/externalLink10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ANTA%20CRUZ%20DE%20TENERIFE-1-4.xls" TargetMode="External"/></Relationships>
</file>

<file path=xl/externalLinks/_rels/externalLink10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EGOVIA-1-4.xls" TargetMode="External"/></Relationships>
</file>

<file path=xl/externalLinks/_rels/externalLink10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EVILLA-1-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ELILLA-1-4.xlsx" TargetMode="External"/></Relationships>
</file>

<file path=xl/externalLinks/_rels/externalLink10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SORIA-1-4.xls" TargetMode="External"/></Relationships>
</file>

<file path=xl/externalLinks/_rels/externalLink10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ARRAGONA-1-4.xls" TargetMode="External"/></Relationships>
</file>

<file path=xl/externalLinks/_rels/externalLink10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ERUEL-1-4.xls" TargetMode="External"/></Relationships>
</file>

<file path=xl/externalLinks/_rels/externalLink10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TOLEDO-1-4.xls" TargetMode="External"/></Relationships>
</file>

<file path=xl/externalLinks/_rels/externalLink10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VALENCIA-1-4.xls" TargetMode="External"/></Relationships>
</file>

<file path=xl/externalLinks/_rels/externalLink10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VALLADOLID-1-4.xls" TargetMode="External"/></Relationships>
</file>

<file path=xl/externalLinks/_rels/externalLink10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ZAMORA-1-4.xls" TargetMode="External"/></Relationships>
</file>

<file path=xl/externalLinks/_rels/externalLink10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ZARAGOZA-1-4.xls" TargetMode="External"/></Relationships>
</file>

<file path=xl/externalLinks/_rels/externalLink10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CEUTA-1-4.xls" TargetMode="External"/></Relationships>
</file>

<file path=xl/externalLinks/_rels/externalLink10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MELILLA-1-4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Nacional-1-4.xlsx" TargetMode="External"/></Relationships>
</file>

<file path=xl/externalLinks/_rels/externalLink10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3-Nacional-1-4.xls" TargetMode="External"/></Relationships>
</file>

<file path=xl/externalLinks/_rels/externalLink10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BACETE-1-4.xls" TargetMode="External"/></Relationships>
</file>

<file path=xl/externalLinks/_rels/externalLink10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ICANTE-ALACANT-1-4.xls" TargetMode="External"/></Relationships>
</file>

<file path=xl/externalLinks/_rels/externalLink10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LMERIA-1-4.xls" TargetMode="External"/></Relationships>
</file>

<file path=xl/externalLinks/_rels/externalLink10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RABA-ALAVA-1-4.xls" TargetMode="External"/></Relationships>
</file>

<file path=xl/externalLinks/_rels/externalLink10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STURIAS-1-4.xls" TargetMode="External"/></Relationships>
</file>

<file path=xl/externalLinks/_rels/externalLink10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VILA-1-4.xls" TargetMode="External"/></Relationships>
</file>

<file path=xl/externalLinks/_rels/externalLink10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ADAJOZ-1-4.xls" TargetMode="External"/></Relationships>
</file>

<file path=xl/externalLinks/_rels/externalLink10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ILLES%20BALEARS-1-4.xls" TargetMode="External"/></Relationships>
</file>

<file path=xl/externalLinks/_rels/externalLink10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ARCELONA-1-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BACETE-1-4.xlsx" TargetMode="External"/></Relationships>
</file>

<file path=xl/externalLinks/_rels/externalLink10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IZKAIA-1-4.xls" TargetMode="External"/></Relationships>
</file>

<file path=xl/externalLinks/_rels/externalLink10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BURGOS-1-4.xls" TargetMode="External"/></Relationships>
</file>

<file path=xl/externalLinks/_rels/externalLink10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CERES-1-4.xls" TargetMode="External"/></Relationships>
</file>

<file path=xl/externalLinks/_rels/externalLink10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DIZ-1-4.xls" TargetMode="External"/></Relationships>
</file>

<file path=xl/externalLinks/_rels/externalLink10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NTABRIA-1-4.xls" TargetMode="External"/></Relationships>
</file>

<file path=xl/externalLinks/_rels/externalLink10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ASTELLON-CASTELLO-1-4.xls" TargetMode="External"/></Relationships>
</file>

<file path=xl/externalLinks/_rels/externalLink10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IUDAD%20REAL-1-4.xls" TargetMode="External"/></Relationships>
</file>

<file path=xl/externalLinks/_rels/externalLink10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ORDOBA-1-4.xls" TargetMode="External"/></Relationships>
</file>

<file path=xl/externalLinks/_rels/externalLink10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A%20CORU&#209;A-1-4.xls" TargetMode="External"/></Relationships>
</file>

<file path=xl/externalLinks/_rels/externalLink10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UENCA-1-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ICANTE-ALACANT-1-4.xlsx" TargetMode="External"/></Relationships>
</file>

<file path=xl/externalLinks/_rels/externalLink10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IPUZKOA-1-4.xls" TargetMode="External"/></Relationships>
</file>

<file path=xl/externalLinks/_rels/externalLink10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IRONA-1-4.xls" TargetMode="External"/></Relationships>
</file>

<file path=xl/externalLinks/_rels/externalLink10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RANADA-1-4.xls" TargetMode="External"/></Relationships>
</file>

<file path=xl/externalLinks/_rels/externalLink10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GUADALAJARA-1-4.xls" TargetMode="External"/></Relationships>
</file>

<file path=xl/externalLinks/_rels/externalLink10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HUELVA-1-4.xls" TargetMode="External"/></Relationships>
</file>

<file path=xl/externalLinks/_rels/externalLink10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HUESCA-1-4.xls" TargetMode="External"/></Relationships>
</file>

<file path=xl/externalLinks/_rels/externalLink10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JAEN-1-4.xls" TargetMode="External"/></Relationships>
</file>

<file path=xl/externalLinks/_rels/externalLink10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EON-1-4.xls" TargetMode="External"/></Relationships>
</file>

<file path=xl/externalLinks/_rels/externalLink10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LEIDA-1-4.xls" TargetMode="External"/></Relationships>
</file>

<file path=xl/externalLinks/_rels/externalLink10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UGO-1-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LMERIA-1-4.xlsx" TargetMode="External"/></Relationships>
</file>

<file path=xl/externalLinks/_rels/externalLink10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ADRID-1-4.xls" TargetMode="External"/></Relationships>
</file>

<file path=xl/externalLinks/_rels/externalLink10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ALAGA-1-4.xls" TargetMode="External"/></Relationships>
</file>

<file path=xl/externalLinks/_rels/externalLink10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URCIA-1-4.xls" TargetMode="External"/></Relationships>
</file>

<file path=xl/externalLinks/_rels/externalLink10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NAVARRA-1-4.xls" TargetMode="External"/></Relationships>
</file>

<file path=xl/externalLinks/_rels/externalLink10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OURENSE-1-4.xls" TargetMode="External"/></Relationships>
</file>

<file path=xl/externalLinks/_rels/externalLink10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PALENCIA-1-4.xls" TargetMode="External"/></Relationships>
</file>

<file path=xl/externalLinks/_rels/externalLink10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AS%20PALMAS-1-4.xls" TargetMode="External"/></Relationships>
</file>

<file path=xl/externalLinks/_rels/externalLink10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PONTEVEDRA-1-4.xls" TargetMode="External"/></Relationships>
</file>

<file path=xl/externalLinks/_rels/externalLink10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LA%20RIOJA-1-4.xls" TargetMode="External"/></Relationships>
</file>

<file path=xl/externalLinks/_rels/externalLink10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ALAMANCA-1-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URGOS-1-4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RABA-ALAVA-1-4.xlsx" TargetMode="External"/></Relationships>
</file>

<file path=xl/externalLinks/_rels/externalLink1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ANTA%20CRUZ%20DE%20TENERIFE-1-4.xls" TargetMode="External"/></Relationships>
</file>

<file path=xl/externalLinks/_rels/externalLink11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EGOVIA-1-4.xls" TargetMode="External"/></Relationships>
</file>

<file path=xl/externalLinks/_rels/externalLink11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EVILLA-1-4.xls" TargetMode="External"/></Relationships>
</file>

<file path=xl/externalLinks/_rels/externalLink11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SORIA-1-4.xls" TargetMode="External"/></Relationships>
</file>

<file path=xl/externalLinks/_rels/externalLink11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ARRAGONA-1-4.xls" TargetMode="External"/></Relationships>
</file>

<file path=xl/externalLinks/_rels/externalLink11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ERUEL-1-4.xls" TargetMode="External"/></Relationships>
</file>

<file path=xl/externalLinks/_rels/externalLink11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TOLEDO-1-4.xls" TargetMode="External"/></Relationships>
</file>

<file path=xl/externalLinks/_rels/externalLink11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VALENCIA-1-4.xls" TargetMode="External"/></Relationships>
</file>

<file path=xl/externalLinks/_rels/externalLink11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VALLADOLID-1-4.xls" TargetMode="External"/></Relationships>
</file>

<file path=xl/externalLinks/_rels/externalLink11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ZAMORA-1-4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STURIAS-1-4.xlsx" TargetMode="External"/></Relationships>
</file>

<file path=xl/externalLinks/_rels/externalLink11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ZARAGOZA-1-4.xls" TargetMode="External"/></Relationships>
</file>

<file path=xl/externalLinks/_rels/externalLink11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CEUTA-1-4.xls" TargetMode="External"/></Relationships>
</file>

<file path=xl/externalLinks/_rels/externalLink11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MELILLA-1-4.xls" TargetMode="External"/></Relationships>
</file>

<file path=xl/externalLinks/_rels/externalLink11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2-Nacional-1-4.xls" TargetMode="External"/></Relationships>
</file>

<file path=xl/externalLinks/_rels/externalLink11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BACETE-1-4.xls" TargetMode="External"/></Relationships>
</file>

<file path=xl/externalLinks/_rels/externalLink11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ICANTE-ALACANT-1-4.xls" TargetMode="External"/></Relationships>
</file>

<file path=xl/externalLinks/_rels/externalLink11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LMERIA-1-4.xls" TargetMode="External"/></Relationships>
</file>

<file path=xl/externalLinks/_rels/externalLink11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RABA-ALAVA-1-4.xls" TargetMode="External"/></Relationships>
</file>

<file path=xl/externalLinks/_rels/externalLink11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STURIAS-1-4.xls" TargetMode="External"/></Relationships>
</file>

<file path=xl/externalLinks/_rels/externalLink11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VILA-1-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VILA-1-4.xlsx" TargetMode="External"/></Relationships>
</file>

<file path=xl/externalLinks/_rels/externalLink11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ADAJOZ-1-4.xls" TargetMode="External"/></Relationships>
</file>

<file path=xl/externalLinks/_rels/externalLink11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ILLES%20BALEARS-1-4.xls" TargetMode="External"/></Relationships>
</file>

<file path=xl/externalLinks/_rels/externalLink11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ARCELONA-1-4.xls" TargetMode="External"/></Relationships>
</file>

<file path=xl/externalLinks/_rels/externalLink11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IZKAIA-1-4.xls" TargetMode="External"/></Relationships>
</file>

<file path=xl/externalLinks/_rels/externalLink11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BURGOS-1-4.xls" TargetMode="External"/></Relationships>
</file>

<file path=xl/externalLinks/_rels/externalLink11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CERES-1-4.xls" TargetMode="External"/></Relationships>
</file>

<file path=xl/externalLinks/_rels/externalLink11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DIZ-1-4.xls" TargetMode="External"/></Relationships>
</file>

<file path=xl/externalLinks/_rels/externalLink11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NTABRIA-1-4.xls" TargetMode="External"/></Relationships>
</file>

<file path=xl/externalLinks/_rels/externalLink11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ASTELLON-CASTELLO-1-4.xls" TargetMode="External"/></Relationships>
</file>

<file path=xl/externalLinks/_rels/externalLink11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IUDAD%20REAL-1-4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ADAJOZ-1-4.xlsx" TargetMode="External"/></Relationships>
</file>

<file path=xl/externalLinks/_rels/externalLink11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ORDOBA-1-4.xls" TargetMode="External"/></Relationships>
</file>

<file path=xl/externalLinks/_rels/externalLink11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A%20CORU&#209;A-1-4.xls" TargetMode="External"/></Relationships>
</file>

<file path=xl/externalLinks/_rels/externalLink11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UENCA-1-4.xls" TargetMode="External"/></Relationships>
</file>

<file path=xl/externalLinks/_rels/externalLink11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IPUZKOA-1-4.xls" TargetMode="External"/></Relationships>
</file>

<file path=xl/externalLinks/_rels/externalLink11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IRONA-1-4.xls" TargetMode="External"/></Relationships>
</file>

<file path=xl/externalLinks/_rels/externalLink11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RANADA-1-4.xls" TargetMode="External"/></Relationships>
</file>

<file path=xl/externalLinks/_rels/externalLink11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GUADALAJARA-1-4.xls" TargetMode="External"/></Relationships>
</file>

<file path=xl/externalLinks/_rels/externalLink11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HUELVA-1-4.xls" TargetMode="External"/></Relationships>
</file>

<file path=xl/externalLinks/_rels/externalLink11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HUESCA-1-4.xls" TargetMode="External"/></Relationships>
</file>

<file path=xl/externalLinks/_rels/externalLink11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JAEN-1-4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ILLES%20BALEARS-1-4.xlsx" TargetMode="External"/></Relationships>
</file>

<file path=xl/externalLinks/_rels/externalLink11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EON-1-4.xls" TargetMode="External"/></Relationships>
</file>

<file path=xl/externalLinks/_rels/externalLink11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LEIDA-1-4.xls" TargetMode="External"/></Relationships>
</file>

<file path=xl/externalLinks/_rels/externalLink11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UGO-1-4.xls" TargetMode="External"/></Relationships>
</file>

<file path=xl/externalLinks/_rels/externalLink11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ADRID-1-4.xls" TargetMode="External"/></Relationships>
</file>

<file path=xl/externalLinks/_rels/externalLink11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ALAGA-1-4.xls" TargetMode="External"/></Relationships>
</file>

<file path=xl/externalLinks/_rels/externalLink11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URCIA-1-4.xls" TargetMode="External"/></Relationships>
</file>

<file path=xl/externalLinks/_rels/externalLink11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NAVARRA-1-4.xls" TargetMode="External"/></Relationships>
</file>

<file path=xl/externalLinks/_rels/externalLink11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OURENSE-1-4.xls" TargetMode="External"/></Relationships>
</file>

<file path=xl/externalLinks/_rels/externalLink11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PALENCIA-1-4.xls" TargetMode="External"/></Relationships>
</file>

<file path=xl/externalLinks/_rels/externalLink11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AS%20PALMAS-1-4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ARCELONA-1-4.xlsx" TargetMode="External"/></Relationships>
</file>

<file path=xl/externalLinks/_rels/externalLink11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PONTEVEDRA-1-4.xls" TargetMode="External"/></Relationships>
</file>

<file path=xl/externalLinks/_rels/externalLink11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LA%20RIOJA-1-4.xls" TargetMode="External"/></Relationships>
</file>

<file path=xl/externalLinks/_rels/externalLink11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ALAMANCA-1-4.xls" TargetMode="External"/></Relationships>
</file>

<file path=xl/externalLinks/_rels/externalLink11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ANTA%20CRUZ%20DE%20TENERIFE-1-4.xls" TargetMode="External"/></Relationships>
</file>

<file path=xl/externalLinks/_rels/externalLink11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EGOVIA-1-4.xls" TargetMode="External"/></Relationships>
</file>

<file path=xl/externalLinks/_rels/externalLink11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EVILLA-1-4.xls" TargetMode="External"/></Relationships>
</file>

<file path=xl/externalLinks/_rels/externalLink11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SORIA-1-4.xls" TargetMode="External"/></Relationships>
</file>

<file path=xl/externalLinks/_rels/externalLink11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ARRAGONA-1-4.xls" TargetMode="External"/></Relationships>
</file>

<file path=xl/externalLinks/_rels/externalLink11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ERUEL-1-4.xls" TargetMode="External"/></Relationships>
</file>

<file path=xl/externalLinks/_rels/externalLink11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TOLEDO-1-4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IZKAIA-1-4.xlsx" TargetMode="External"/></Relationships>
</file>

<file path=xl/externalLinks/_rels/externalLink11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VALENCIA-1-4.xls" TargetMode="External"/></Relationships>
</file>

<file path=xl/externalLinks/_rels/externalLink11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VALLADOLID-1-4.xls" TargetMode="External"/></Relationships>
</file>

<file path=xl/externalLinks/_rels/externalLink11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ZAMORA-1-4.xls" TargetMode="External"/></Relationships>
</file>

<file path=xl/externalLinks/_rels/externalLink11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ZARAGOZA-1-4.xls" TargetMode="External"/></Relationships>
</file>

<file path=xl/externalLinks/_rels/externalLink11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CEUTA-1-4.xls" TargetMode="External"/></Relationships>
</file>

<file path=xl/externalLinks/_rels/externalLink11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MELILLA-1-4.xls" TargetMode="External"/></Relationships>
</file>

<file path=xl/externalLinks/_rels/externalLink11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1-Nacional-1-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BURGOS-1-4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CERES-1-4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DIZ-1-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CERES-1-4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NTABRIA-1-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ASTELLON-CASTELLO-1-4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IUDAD%20REAL-1-4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ORDOBA-1-4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A%20CORU&#209;A-1-4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UENCA-1-4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IPUZKOA-1-4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IRONA-1-4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RANADA-1-4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GUADALAJARA-1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DIZ-1-4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HUELVA-1-4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HUESCA-1-4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JAEN-1-4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EON-1-4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LEIDA-1-4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UGO-1-4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ADRID-1-4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ALAGA-1-4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URCIA-1-4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NAVARRA-1-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NTABRIA-1-4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OURENSE-1-4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PALENCIA-1-4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AS%20PALMAS-1-4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PONTEVEDRA-1-4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LA%20RIOJA-1-4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ALAMANCA-1-4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ANTA%20CRUZ%20DE%20TENERIFE-1-4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EGOVIA-1-4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EVILLA-1-4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SORIA-1-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ASTELLON-CASTELLO-1-4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ARRAGONA-1-4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ERUEL-1-4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TOLEDO-1-4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VALENCIA-1-4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VALLADOLID-1-4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ZAMORA-1-4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ZARAGOZA-1-4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CEUTA-1-4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MELILLA-1-4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0-Nacional-1-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IUDAD%20REAL-1-4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BACETE-1-4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ICANTE-ALACANT-1-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LMERIA-1-4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RABA-ALAVA-1-4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STURIAS-1-4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VILA-1-4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ADAJOZ-1-4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ILLES%20BALEARS-1-4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ARCELONA-1-4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IZKAIA-1-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ORDOBA-1-4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BURGOS-1-4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CERES-1-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DIZ-1-4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NTABRIA-1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ASTELLON-CASTELLO-1-4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IUDAD%20REAL-1-4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ORDOBA-1-4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A%20CORU&#209;A-1-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UENCA-1-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IPUZKOA-1-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%20CORU&#209;A-1-4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IRONA-1-4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RANADA-1-4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GUADALAJARA-1-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HUELVA-1-4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HUESCA-1-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JAEN-1-4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EON-1-4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LEIDA-1-4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UGO-1-4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ADRID-1-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UENCA-1-4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ALAGA-1-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URCIA-1-4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NAVARRA-1-4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OURENSE-1-4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PALENCIA-1-4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AS%20PALMAS-1-4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PONTEVEDRA-1-4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LA%20RIOJA-1-4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ALAMANCA-1-4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ANTA%20CRUZ%20DE%20TENERIFE-1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ICANTE-ALACANT-1-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IPUZKOA-1-4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EGOVIA-1-4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EVILLA-1-4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SORIA-1-4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ARRAGONA-1-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ERUEL-1-4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TOLEDO-1-4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VALENCIA-1-4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VALLADOLID-1-4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ZAMORA-1-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ZARAGOZA-1-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IRONA-1-4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CEUTA-1-4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MELILLA-1-4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9-Nacional-1-4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BACETE-1-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ICANTE-ALACANT-1-4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LMERIA-1-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RABA-ALAVA-1-4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STURIAS-1-4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VILA-1-4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ADAJOZ-1-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RANADA-1-4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ILLES%20BALEARS-1-4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ARCELONA-1-4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IZKAIA-1-4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BURGOS-1-4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CERES-1-4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DIZ-1-4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NTABRIA-1-4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ASTELLON-CASTELLO-1-4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IUDAD%20REAL-1-4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ORDOBA-1-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GUADALAJARA-1-4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A%20CORU&#209;A-1-4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UENCA-1-4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IPUZKOA-1-4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IRONA-1-4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RANADA-1-4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GUADALAJARA-1-4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HUELVA-1-4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HUESCA-1-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JAEN-1-4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EON-1-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HUELVA-1-4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LEIDA-1-4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UGO-1-4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ADRID-1-4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ALAGA-1-4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URCIA-1-4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NAVARRA-1-4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OURENSE-1-4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PALENCIA-1-4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AS%20PALMAS-1-4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PONTEVEDRA-1-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HUESCA-1-4.xlsx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LA%20RIOJA-1-4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ALAMANCA-1-4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ANTA%20CRUZ%20DE%20TENERIFE-1-4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EGOVIA-1-4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EVILLA-1-4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SORIA-1-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ARRAGONA-1-4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ERUEL-1-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TOLEDO-1-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VALENCIA-1-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JAEN-1-4.xlsx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VALLADOLID-1-4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ZAMORA-1-4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ZARAGOZA-1-4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CEUTA-1-4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MELILLA-1-4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8-Nacional-1-4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BACETE-1-4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ICANTE-ALACANT-1-4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LMERIA-1-4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RABA-ALAVA-1-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EON-1-4.xlsx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STURIAS-1-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VILA-1-4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ADAJOZ-1-4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ILLES%20BALEARS-1-4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ARCELONA-1-4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IZKAIA-1-4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BURGOS-1-4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CERES-1-4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DIZ-1-4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NTABRIA-1-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LEIDA-1-4.xlsx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ASTELLON-CASTELLO-1-4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IUDAD%20REAL-1-4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ORDOBA-1-4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A%20CORU&#209;A-1-4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UENCA-1-4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IPUZKOA-1-4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IRONA-1-4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RANADA-1-4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GUADALAJARA-1-4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HUELVA-1-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UGO-1-4.xlsx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HUESCA-1-4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JAEN-1-4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EON-1-4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LEIDA-1-4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UGO-1-4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ADRID-1-4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ALAGA-1-4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URCIA-1-4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NAVARRA-1-4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OURENSE-1-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LMERIA-1-4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ADRID-1-4.xlsx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PALENCIA-1-4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AS%20PALMAS-1-4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PONTEVEDRA-1-4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LA%20RIOJA-1-4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ALAMANCA-1-4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ANTA%20CRUZ%20DE%20TENERIFE-1-4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EGOVIA-1-4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EVILLA-1-4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SORIA-1-4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ARRAGONA-1-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ALAGA-1-4.xlsx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ERUEL-1-4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TOLEDO-1-4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VALENCIA-1-4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VALLADOLID-1-4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ZAMORA-1-4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ZARAGOZA-1-4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CEUTA-1-4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MELILLA-1-4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7-Nacional-1-4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BACETE-1-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URCIA-1-4.xlsx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ICANTE-ALACANT-1-4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LMERIA-1-4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RABA-ALAVA-1-4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STURIAS-1-4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VILA-1-4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ADAJOZ-1-4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ILLES%20BALEARS-1-4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ARCELONA-1-4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IZKAIA-1-4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BURGOS-1-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NAVARRA-1-4.xlsx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CERES-1-4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DIZ-1-4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NTABRIA-1-4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ASTELLON-CASTELLO-1-4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IUDAD%20REAL-1-4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ORDOBA-1-4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A%20CORU&#209;A-1-4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UENCA-1-4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IPUZKOA-1-4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IRONA-1-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OURENSE-1-4.xlsx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RANADA-1-4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GUADALAJARA-1-4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HUELVA-1-4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HUESCA-1-4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JAEN-1-4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EON-1-4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LEIDA-1-4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UGO-1-4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ADRID-1-4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ALAGA-1-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PALENCIA-1-4.xlsx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URCIA-1-4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NAVARRA-1-4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OURENSE-1-4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PALENCIA-1-4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AS%20PALMAS-1-4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PONTEVEDRA-1-4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LA%20RIOJA-1-4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ALAMANCA-1-4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ANTA%20CRUZ%20DE%20TENERIFE-1-4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EGOVIA-1-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AS%20PALMAS-1-4.xlsx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EVILLA-1-4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SORIA-1-4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ARRAGONA-1-4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ERUEL-1-4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TOLEDO-1-4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VALENCIA-1-4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VALLADOLID-1-4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ZAMORA-1-4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ZARAGOZA-1-4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CEUTA-1-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PONTEVEDRA-1-4.xlsx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MELILLA-1-4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6-Nacional-1-4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BACETE-1-4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ICANTE-ALACANT-1-4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LMERIA-1-4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RABA-ALAVA-1-4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STURIAS-1-4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VILA-1-4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ADAJOZ-1-4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ILLES%20BALEARS-1-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LA%20RIOJA-1-4.xlsx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ARCELONA-1-4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IZKAIA-1-4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BURGOS-1-4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CERES-1-4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DIZ-1-4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NTABRIA-1-4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ASTELLON-CASTELLO-1-4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IUDAD%20REAL-1-4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ORDOBA-1-4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A%20CORU&#209;A-1-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ALAMANCA-1-4.xlsx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UENCA-1-4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IPUZKOA-1-4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IRONA-1-4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RANADA-1-4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GUADALAJARA-1-4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HUELVA-1-4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HUESCA-1-4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JAEN-1-4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EON-1-4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LEIDA-1-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RABA-ALAVA-1-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ANTA%20CRUZ%20DE%20TENERIFE-1-4.xlsx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UGO-1-4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ADRID-1-4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ALAGA-1-4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URCIA-1-4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NAVARRA-1-4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OURENSE-1-4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PALENCIA-1-4.xls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AS%20PALMAS-1-4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PONTEVEDRA-1-4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LA%20RIOJA-1-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EGOVIA-1-4.xlsx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ALAMANCA-1-4.xls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ANTA%20CRUZ%20DE%20TENERIFE-1-4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EGOVIA-1-4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EVILLA-1-4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SORIA-1-4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ARRAGONA-1-4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ERUEL-1-4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TOLEDO-1-4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VALENCIA-1-4.xls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VALLADOLID-1-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EVILLA-1-4.xlsx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ZAMORA-1-4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ZARAGOZA-1-4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CEUTA-1-4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MELILLA-1-4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5-Nacional-1-4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BACETE-1-4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ICANTE-ALACANT-1-4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LMERIA-1-4.xls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RABA-ALAVA-1-4.xls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STURIAS-1-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SORIA-1-4.xlsx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VILA-1-4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ADAJOZ-1-4.xls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ILLES%20BALEARS-1-4.xls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ARCELONA-1-4.xls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IZKAIA-1-4.xls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BURGOS-1-4.xls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CERES-1-4.xls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DIZ-1-4.xls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NTABRIA-1-4.xls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ASTELLON-CASTELLO-1-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ARRAGONA-1-4.xlsx" TargetMode="External"/></Relationships>
</file>

<file path=xl/externalLinks/_rels/externalLink4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IUDAD%20REAL-1-4.xls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ORDOBA-1-4.xls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A%20CORU&#209;A-1-4.xls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UENCA-1-4.xls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IPUZKOA-1-4.xls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IRONA-1-4.xls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RANADA-1-4.xls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GUADALAJARA-1-4.xls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HUELVA-1-4.xls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HUESCA-1-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ERUEL-1-4.xlsx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JAEN-1-4.xls" TargetMode="External"/></Relationships>
</file>

<file path=xl/externalLinks/_rels/externalLink4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EON-1-4.xls" TargetMode="External"/></Relationships>
</file>

<file path=xl/externalLinks/_rels/externalLink4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LEIDA-1-4.xls" TargetMode="External"/></Relationships>
</file>

<file path=xl/externalLinks/_rels/externalLink4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UGO-1-4.xls" TargetMode="External"/></Relationships>
</file>

<file path=xl/externalLinks/_rels/externalLink4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ADRID-1-4.xls" TargetMode="External"/></Relationships>
</file>

<file path=xl/externalLinks/_rels/externalLink4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ALAGA-1-4.xls" TargetMode="External"/></Relationships>
</file>

<file path=xl/externalLinks/_rels/externalLink4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URCIA-1-4.xls" TargetMode="External"/></Relationships>
</file>

<file path=xl/externalLinks/_rels/externalLink4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NAVARRA-1-4.xls" TargetMode="External"/></Relationships>
</file>

<file path=xl/externalLinks/_rels/externalLink4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OURENSE-1-4.xls" TargetMode="External"/></Relationships>
</file>

<file path=xl/externalLinks/_rels/externalLink4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PALENCIA-1-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TOLEDO-1-4.xlsx" TargetMode="External"/></Relationships>
</file>

<file path=xl/externalLinks/_rels/externalLink4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AS%20PALMAS-1-4.xls" TargetMode="External"/></Relationships>
</file>

<file path=xl/externalLinks/_rels/externalLink4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PONTEVEDRA-1-4.xls" TargetMode="External"/></Relationships>
</file>

<file path=xl/externalLinks/_rels/externalLink4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LA%20RIOJA-1-4.xls" TargetMode="External"/></Relationships>
</file>

<file path=xl/externalLinks/_rels/externalLink4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ALAMANCA-1-4.xls" TargetMode="External"/></Relationships>
</file>

<file path=xl/externalLinks/_rels/externalLink4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ANTA%20CRUZ%20DE%20TENERIFE-1-4.xls" TargetMode="External"/></Relationships>
</file>

<file path=xl/externalLinks/_rels/externalLink4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EGOVIA-1-4.xls" TargetMode="External"/></Relationships>
</file>

<file path=xl/externalLinks/_rels/externalLink4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EVILLA-1-4.xls" TargetMode="External"/></Relationships>
</file>

<file path=xl/externalLinks/_rels/externalLink4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SORIA-1-4.xls" TargetMode="External"/></Relationships>
</file>

<file path=xl/externalLinks/_rels/externalLink4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ARRAGONA-1-4.xls" TargetMode="External"/></Relationships>
</file>

<file path=xl/externalLinks/_rels/externalLink4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ERUEL-1-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VALENCIA-1-4.xlsx" TargetMode="External"/></Relationships>
</file>

<file path=xl/externalLinks/_rels/externalLink4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TOLEDO-1-4.xls" TargetMode="External"/></Relationships>
</file>

<file path=xl/externalLinks/_rels/externalLink4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VALENCIA-1-4.xls" TargetMode="External"/></Relationships>
</file>

<file path=xl/externalLinks/_rels/externalLink4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VALLADOLID-1-4.xls" TargetMode="External"/></Relationships>
</file>

<file path=xl/externalLinks/_rels/externalLink4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ZAMORA-1-4.xls" TargetMode="External"/></Relationships>
</file>

<file path=xl/externalLinks/_rels/externalLink4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ZARAGOZA-1-4.xls" TargetMode="External"/></Relationships>
</file>

<file path=xl/externalLinks/_rels/externalLink4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CEUTA-1-4.xls" TargetMode="External"/></Relationships>
</file>

<file path=xl/externalLinks/_rels/externalLink4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MELILLA-1-4.xls" TargetMode="External"/></Relationships>
</file>

<file path=xl/externalLinks/_rels/externalLink4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4-Nacional-1-4.xls" TargetMode="External"/></Relationships>
</file>

<file path=xl/externalLinks/_rels/externalLink4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BACETE-1-4.xls" TargetMode="External"/></Relationships>
</file>

<file path=xl/externalLinks/_rels/externalLink4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ICANTE-ALACANT-1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VALLADOLID-1-4.xlsx" TargetMode="External"/></Relationships>
</file>

<file path=xl/externalLinks/_rels/externalLink4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LMERIA-1-4.xls" TargetMode="External"/></Relationships>
</file>

<file path=xl/externalLinks/_rels/externalLink4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RABA-ALAVA-1-4.xls" TargetMode="External"/></Relationships>
</file>

<file path=xl/externalLinks/_rels/externalLink4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STURIAS-1-4.xls" TargetMode="External"/></Relationships>
</file>

<file path=xl/externalLinks/_rels/externalLink4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VILA-1-4.xls" TargetMode="External"/></Relationships>
</file>

<file path=xl/externalLinks/_rels/externalLink4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ADAJOZ-1-4.xls" TargetMode="External"/></Relationships>
</file>

<file path=xl/externalLinks/_rels/externalLink4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ILLES%20BALEARS-1-4.xls" TargetMode="External"/></Relationships>
</file>

<file path=xl/externalLinks/_rels/externalLink4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ARCELONA-1-4.xls" TargetMode="External"/></Relationships>
</file>

<file path=xl/externalLinks/_rels/externalLink4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IZKAIA-1-4.xls" TargetMode="External"/></Relationships>
</file>

<file path=xl/externalLinks/_rels/externalLink4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BURGOS-1-4.xls" TargetMode="External"/></Relationships>
</file>

<file path=xl/externalLinks/_rels/externalLink4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CERES-1-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ZAMORA-1-4.xlsx" TargetMode="External"/></Relationships>
</file>

<file path=xl/externalLinks/_rels/externalLink4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DIZ-1-4.xls" TargetMode="External"/></Relationships>
</file>

<file path=xl/externalLinks/_rels/externalLink4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NTABRIA-1-4.xls" TargetMode="External"/></Relationships>
</file>

<file path=xl/externalLinks/_rels/externalLink4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ASTELLON-CASTELLO-1-4.xls" TargetMode="External"/></Relationships>
</file>

<file path=xl/externalLinks/_rels/externalLink4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IUDAD%20REAL-1-4.xls" TargetMode="External"/></Relationships>
</file>

<file path=xl/externalLinks/_rels/externalLink4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ORDOBA-1-4.xls" TargetMode="External"/></Relationships>
</file>

<file path=xl/externalLinks/_rels/externalLink4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A%20CORU&#209;A-1-4.xls" TargetMode="External"/></Relationships>
</file>

<file path=xl/externalLinks/_rels/externalLink4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UENCA-1-4.xls" TargetMode="External"/></Relationships>
</file>

<file path=xl/externalLinks/_rels/externalLink4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IPUZKOA-1-4.xls" TargetMode="External"/></Relationships>
</file>

<file path=xl/externalLinks/_rels/externalLink4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IRONA-1-4.xls" TargetMode="External"/></Relationships>
</file>

<file path=xl/externalLinks/_rels/externalLink4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RANADA-1-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STURIAS-1-4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ZARAGOZA-1-4.xlsx" TargetMode="External"/></Relationships>
</file>

<file path=xl/externalLinks/_rels/externalLink5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GUADALAJARA-1-4.xls" TargetMode="External"/></Relationships>
</file>

<file path=xl/externalLinks/_rels/externalLink5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HUELVA-1-4.xls" TargetMode="External"/></Relationships>
</file>

<file path=xl/externalLinks/_rels/externalLink5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HUESCA-1-4.xls" TargetMode="External"/></Relationships>
</file>

<file path=xl/externalLinks/_rels/externalLink5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JAEN-1-4.xls" TargetMode="External"/></Relationships>
</file>

<file path=xl/externalLinks/_rels/externalLink5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EON-1-4.xls" TargetMode="External"/></Relationships>
</file>

<file path=xl/externalLinks/_rels/externalLink5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LEIDA-1-4.xls" TargetMode="External"/></Relationships>
</file>

<file path=xl/externalLinks/_rels/externalLink5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UGO-1-4.xls" TargetMode="External"/></Relationships>
</file>

<file path=xl/externalLinks/_rels/externalLink5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ADRID-1-4.xls" TargetMode="External"/></Relationships>
</file>

<file path=xl/externalLinks/_rels/externalLink5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ALAGA-1-4.xls" TargetMode="External"/></Relationships>
</file>

<file path=xl/externalLinks/_rels/externalLink5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URCIA-1-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CEUTA-1-4.xlsx" TargetMode="External"/></Relationships>
</file>

<file path=xl/externalLinks/_rels/externalLink5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NAVARRA-1-4.xls" TargetMode="External"/></Relationships>
</file>

<file path=xl/externalLinks/_rels/externalLink5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OURENSE-1-4.xls" TargetMode="External"/></Relationships>
</file>

<file path=xl/externalLinks/_rels/externalLink5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PALENCIA-1-4.xls" TargetMode="External"/></Relationships>
</file>

<file path=xl/externalLinks/_rels/externalLink5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AS%20PALMAS-1-4.xls" TargetMode="External"/></Relationships>
</file>

<file path=xl/externalLinks/_rels/externalLink5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PONTEVEDRA-1-4.xls" TargetMode="External"/></Relationships>
</file>

<file path=xl/externalLinks/_rels/externalLink5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LA%20RIOJA-1-4.xls" TargetMode="External"/></Relationships>
</file>

<file path=xl/externalLinks/_rels/externalLink5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ALAMANCA-1-4.xls" TargetMode="External"/></Relationships>
</file>

<file path=xl/externalLinks/_rels/externalLink5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ANTA%20CRUZ%20DE%20TENERIFE-1-4.xls" TargetMode="External"/></Relationships>
</file>

<file path=xl/externalLinks/_rels/externalLink5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EGOVIA-1-4.xls" TargetMode="External"/></Relationships>
</file>

<file path=xl/externalLinks/_rels/externalLink5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EVILLA-1-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MELILLA-1-4.xlsx" TargetMode="External"/></Relationships>
</file>

<file path=xl/externalLinks/_rels/externalLink5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SORIA-1-4.xls" TargetMode="External"/></Relationships>
</file>

<file path=xl/externalLinks/_rels/externalLink5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ARRAGONA-1-4.xls" TargetMode="External"/></Relationships>
</file>

<file path=xl/externalLinks/_rels/externalLink5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ERUEL-1-4.xls" TargetMode="External"/></Relationships>
</file>

<file path=xl/externalLinks/_rels/externalLink5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TOLEDO-1-4.xls" TargetMode="External"/></Relationships>
</file>

<file path=xl/externalLinks/_rels/externalLink5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VALENCIA-1-4.xls" TargetMode="External"/></Relationships>
</file>

<file path=xl/externalLinks/_rels/externalLink5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VALLADOLID-1-4.xls" TargetMode="External"/></Relationships>
</file>

<file path=xl/externalLinks/_rels/externalLink5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ZAMORA-1-4.xls" TargetMode="External"/></Relationships>
</file>

<file path=xl/externalLinks/_rels/externalLink5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ZARAGOZA-1-4.xls" TargetMode="External"/></Relationships>
</file>

<file path=xl/externalLinks/_rels/externalLink5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CEUTA-1-4.xls" TargetMode="External"/></Relationships>
</file>

<file path=xl/externalLinks/_rels/externalLink5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MELILLA-1-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Nacional-1-4.xlsx" TargetMode="External"/></Relationships>
</file>

<file path=xl/externalLinks/_rels/externalLink5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3-Nacional-1-4.xls" TargetMode="External"/></Relationships>
</file>

<file path=xl/externalLinks/_rels/externalLink5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BACETE-1-4.xls" TargetMode="External"/></Relationships>
</file>

<file path=xl/externalLinks/_rels/externalLink5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ICANTE-ALACANT-1-4.xls" TargetMode="External"/></Relationships>
</file>

<file path=xl/externalLinks/_rels/externalLink5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LMERIA-1-4.xls" TargetMode="External"/></Relationships>
</file>

<file path=xl/externalLinks/_rels/externalLink5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RABA-ALAVA-1-4.xls" TargetMode="External"/></Relationships>
</file>

<file path=xl/externalLinks/_rels/externalLink5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STURIAS-1-4.xls" TargetMode="External"/></Relationships>
</file>

<file path=xl/externalLinks/_rels/externalLink5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VILA-1-4.xls" TargetMode="External"/></Relationships>
</file>

<file path=xl/externalLinks/_rels/externalLink5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ADAJOZ-1-4.xls" TargetMode="External"/></Relationships>
</file>

<file path=xl/externalLinks/_rels/externalLink5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ILLES%20BALEARS-1-4.xls" TargetMode="External"/></Relationships>
</file>

<file path=xl/externalLinks/_rels/externalLink5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ARCELONA-1-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BACETE-1-4.xlsx" TargetMode="External"/></Relationships>
</file>

<file path=xl/externalLinks/_rels/externalLink5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IZKAIA-1-4.xls" TargetMode="External"/></Relationships>
</file>

<file path=xl/externalLinks/_rels/externalLink5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BURGOS-1-4.xls" TargetMode="External"/></Relationships>
</file>

<file path=xl/externalLinks/_rels/externalLink5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CERES-1-4.xls" TargetMode="External"/></Relationships>
</file>

<file path=xl/externalLinks/_rels/externalLink5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DIZ-1-4.xls" TargetMode="External"/></Relationships>
</file>

<file path=xl/externalLinks/_rels/externalLink5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NTABRIA-1-4.xls" TargetMode="External"/></Relationships>
</file>

<file path=xl/externalLinks/_rels/externalLink5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ASTELLON-CASTELLO-1-4.xls" TargetMode="External"/></Relationships>
</file>

<file path=xl/externalLinks/_rels/externalLink5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IUDAD%20REAL-1-4.xls" TargetMode="External"/></Relationships>
</file>

<file path=xl/externalLinks/_rels/externalLink5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ORDOBA-1-4.xls" TargetMode="External"/></Relationships>
</file>

<file path=xl/externalLinks/_rels/externalLink5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A%20CORU&#209;A-1-4.xls" TargetMode="External"/></Relationships>
</file>

<file path=xl/externalLinks/_rels/externalLink5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UENCA-1-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ICANTE-ALACANT-1-4.xlsx" TargetMode="External"/></Relationships>
</file>

<file path=xl/externalLinks/_rels/externalLink5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IPUZKOA-1-4.xls" TargetMode="External"/></Relationships>
</file>

<file path=xl/externalLinks/_rels/externalLink5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IRONA-1-4.xls" TargetMode="External"/></Relationships>
</file>

<file path=xl/externalLinks/_rels/externalLink5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RANADA-1-4.xls" TargetMode="External"/></Relationships>
</file>

<file path=xl/externalLinks/_rels/externalLink5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GUADALAJARA-1-4.xls" TargetMode="External"/></Relationships>
</file>

<file path=xl/externalLinks/_rels/externalLink5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HUELVA-1-4.xls" TargetMode="External"/></Relationships>
</file>

<file path=xl/externalLinks/_rels/externalLink5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HUESCA-1-4.xls" TargetMode="External"/></Relationships>
</file>

<file path=xl/externalLinks/_rels/externalLink5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JAEN-1-4.xls" TargetMode="External"/></Relationships>
</file>

<file path=xl/externalLinks/_rels/externalLink5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EON-1-4.xls" TargetMode="External"/></Relationships>
</file>

<file path=xl/externalLinks/_rels/externalLink5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LEIDA-1-4.xls" TargetMode="External"/></Relationships>
</file>

<file path=xl/externalLinks/_rels/externalLink5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UGO-1-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LMERIA-1-4.xlsx" TargetMode="External"/></Relationships>
</file>

<file path=xl/externalLinks/_rels/externalLink5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ADRID-1-4.xls" TargetMode="External"/></Relationships>
</file>

<file path=xl/externalLinks/_rels/externalLink5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ALAGA-1-4.xls" TargetMode="External"/></Relationships>
</file>

<file path=xl/externalLinks/_rels/externalLink5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URCIA-1-4.xls" TargetMode="External"/></Relationships>
</file>

<file path=xl/externalLinks/_rels/externalLink5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NAVARRA-1-4.xls" TargetMode="External"/></Relationships>
</file>

<file path=xl/externalLinks/_rels/externalLink5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OURENSE-1-4.xls" TargetMode="External"/></Relationships>
</file>

<file path=xl/externalLinks/_rels/externalLink5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PALENCIA-1-4.xls" TargetMode="External"/></Relationships>
</file>

<file path=xl/externalLinks/_rels/externalLink5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AS%20PALMAS-1-4.xls" TargetMode="External"/></Relationships>
</file>

<file path=xl/externalLinks/_rels/externalLink5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PONTEVEDRA-1-4.xls" TargetMode="External"/></Relationships>
</file>

<file path=xl/externalLinks/_rels/externalLink5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LA%20RIOJA-1-4.xls" TargetMode="External"/></Relationships>
</file>

<file path=xl/externalLinks/_rels/externalLink5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ALAMANCA-1-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RABA-ALAVA-1-4.xlsx" TargetMode="External"/></Relationships>
</file>

<file path=xl/externalLinks/_rels/externalLink5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ANTA%20CRUZ%20DE%20TENERIFE-1-4.xls" TargetMode="External"/></Relationships>
</file>

<file path=xl/externalLinks/_rels/externalLink5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EGOVIA-1-4.xls" TargetMode="External"/></Relationships>
</file>

<file path=xl/externalLinks/_rels/externalLink5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EVILLA-1-4.xls" TargetMode="External"/></Relationships>
</file>

<file path=xl/externalLinks/_rels/externalLink5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SORIA-1-4.xls" TargetMode="External"/></Relationships>
</file>

<file path=xl/externalLinks/_rels/externalLink5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ARRAGONA-1-4.xls" TargetMode="External"/></Relationships>
</file>

<file path=xl/externalLinks/_rels/externalLink5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ERUEL-1-4.xls" TargetMode="External"/></Relationships>
</file>

<file path=xl/externalLinks/_rels/externalLink5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TOLEDO-1-4.xls" TargetMode="External"/></Relationships>
</file>

<file path=xl/externalLinks/_rels/externalLink5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VALENCIA-1-4.xls" TargetMode="External"/></Relationships>
</file>

<file path=xl/externalLinks/_rels/externalLink5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VALLADOLID-1-4.xls" TargetMode="External"/></Relationships>
</file>

<file path=xl/externalLinks/_rels/externalLink5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ZAMORA-1-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STURIAS-1-4.xlsx" TargetMode="External"/></Relationships>
</file>

<file path=xl/externalLinks/_rels/externalLink5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ZARAGOZA-1-4.xls" TargetMode="External"/></Relationships>
</file>

<file path=xl/externalLinks/_rels/externalLink5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CEUTA-1-4.xls" TargetMode="External"/></Relationships>
</file>

<file path=xl/externalLinks/_rels/externalLink5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MELILLA-1-4.xls" TargetMode="External"/></Relationships>
</file>

<file path=xl/externalLinks/_rels/externalLink5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2-Nacional-1-4.xls" TargetMode="External"/></Relationships>
</file>

<file path=xl/externalLinks/_rels/externalLink5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BACETE-1-4.xls" TargetMode="External"/></Relationships>
</file>

<file path=xl/externalLinks/_rels/externalLink5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ICANTE-ALACANT-1-4.xls" TargetMode="External"/></Relationships>
</file>

<file path=xl/externalLinks/_rels/externalLink5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LMERIA-1-4.xls" TargetMode="External"/></Relationships>
</file>

<file path=xl/externalLinks/_rels/externalLink5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RABA-ALAVA-1-4.xls" TargetMode="External"/></Relationships>
</file>

<file path=xl/externalLinks/_rels/externalLink5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STURIAS-1-4.xls" TargetMode="External"/></Relationships>
</file>

<file path=xl/externalLinks/_rels/externalLink5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VILA-1-4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VILA-1-4.xlsx" TargetMode="External"/></Relationships>
</file>

<file path=xl/externalLinks/_rels/externalLink5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ADAJOZ-1-4.xls" TargetMode="External"/></Relationships>
</file>

<file path=xl/externalLinks/_rels/externalLink5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ILLES%20BALEARS-1-4.xls" TargetMode="External"/></Relationships>
</file>

<file path=xl/externalLinks/_rels/externalLink5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ARCELONA-1-4.xls" TargetMode="External"/></Relationships>
</file>

<file path=xl/externalLinks/_rels/externalLink5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IZKAIA-1-4.xls" TargetMode="External"/></Relationships>
</file>

<file path=xl/externalLinks/_rels/externalLink5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BURGOS-1-4.xls" TargetMode="External"/></Relationships>
</file>

<file path=xl/externalLinks/_rels/externalLink5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CERES-1-4.xls" TargetMode="External"/></Relationships>
</file>

<file path=xl/externalLinks/_rels/externalLink5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DIZ-1-4.xls" TargetMode="External"/></Relationships>
</file>

<file path=xl/externalLinks/_rels/externalLink5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NTABRIA-1-4.xls" TargetMode="External"/></Relationships>
</file>

<file path=xl/externalLinks/_rels/externalLink5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ASTELLON-CASTELLO-1-4.xls" TargetMode="External"/></Relationships>
</file>

<file path=xl/externalLinks/_rels/externalLink5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IUDAD%20REAL-1-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AVILA-1-4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ADAJOZ-1-4.xlsx" TargetMode="External"/></Relationships>
</file>

<file path=xl/externalLinks/_rels/externalLink6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ORDOBA-1-4.xls" TargetMode="External"/></Relationships>
</file>

<file path=xl/externalLinks/_rels/externalLink6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A%20CORU&#209;A-1-4.xls" TargetMode="External"/></Relationships>
</file>

<file path=xl/externalLinks/_rels/externalLink6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UENCA-1-4.xls" TargetMode="External"/></Relationships>
</file>

<file path=xl/externalLinks/_rels/externalLink6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IPUZKOA-1-4.xls" TargetMode="External"/></Relationships>
</file>

<file path=xl/externalLinks/_rels/externalLink6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IRONA-1-4.xls" TargetMode="External"/></Relationships>
</file>

<file path=xl/externalLinks/_rels/externalLink6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RANADA-1-4.xls" TargetMode="External"/></Relationships>
</file>

<file path=xl/externalLinks/_rels/externalLink6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GUADALAJARA-1-4.xls" TargetMode="External"/></Relationships>
</file>

<file path=xl/externalLinks/_rels/externalLink6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HUELVA-1-4.xls" TargetMode="External"/></Relationships>
</file>

<file path=xl/externalLinks/_rels/externalLink6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HUESCA-1-4.xls" TargetMode="External"/></Relationships>
</file>

<file path=xl/externalLinks/_rels/externalLink6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JAEN-1-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ILLES%20BALEARS-1-4.xlsx" TargetMode="External"/></Relationships>
</file>

<file path=xl/externalLinks/_rels/externalLink6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EON-1-4.xls" TargetMode="External"/></Relationships>
</file>

<file path=xl/externalLinks/_rels/externalLink6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LEIDA-1-4.xls" TargetMode="External"/></Relationships>
</file>

<file path=xl/externalLinks/_rels/externalLink6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UGO-1-4.xls" TargetMode="External"/></Relationships>
</file>

<file path=xl/externalLinks/_rels/externalLink6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ADRID-1-4.xls" TargetMode="External"/></Relationships>
</file>

<file path=xl/externalLinks/_rels/externalLink6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ALAGA-1-4.xls" TargetMode="External"/></Relationships>
</file>

<file path=xl/externalLinks/_rels/externalLink6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URCIA-1-4.xls" TargetMode="External"/></Relationships>
</file>

<file path=xl/externalLinks/_rels/externalLink6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NAVARRA-1-4.xls" TargetMode="External"/></Relationships>
</file>

<file path=xl/externalLinks/_rels/externalLink6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OURENSE-1-4.xls" TargetMode="External"/></Relationships>
</file>

<file path=xl/externalLinks/_rels/externalLink6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PALENCIA-1-4.xls" TargetMode="External"/></Relationships>
</file>

<file path=xl/externalLinks/_rels/externalLink6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AS%20PALMAS-1-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ARCELONA-1-4.xlsx" TargetMode="External"/></Relationships>
</file>

<file path=xl/externalLinks/_rels/externalLink6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PONTEVEDRA-1-4.xls" TargetMode="External"/></Relationships>
</file>

<file path=xl/externalLinks/_rels/externalLink6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LA%20RIOJA-1-4.xls" TargetMode="External"/></Relationships>
</file>

<file path=xl/externalLinks/_rels/externalLink6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ALAMANCA-1-4.xls" TargetMode="External"/></Relationships>
</file>

<file path=xl/externalLinks/_rels/externalLink6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ANTA%20CRUZ%20DE%20TENERIFE-1-4.xls" TargetMode="External"/></Relationships>
</file>

<file path=xl/externalLinks/_rels/externalLink6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EGOVIA-1-4.xls" TargetMode="External"/></Relationships>
</file>

<file path=xl/externalLinks/_rels/externalLink6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EVILLA-1-4.xls" TargetMode="External"/></Relationships>
</file>

<file path=xl/externalLinks/_rels/externalLink6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SORIA-1-4.xls" TargetMode="External"/></Relationships>
</file>

<file path=xl/externalLinks/_rels/externalLink6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ARRAGONA-1-4.xls" TargetMode="External"/></Relationships>
</file>

<file path=xl/externalLinks/_rels/externalLink6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ERUEL-1-4.xls" TargetMode="External"/></Relationships>
</file>

<file path=xl/externalLinks/_rels/externalLink6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TOLEDO-1-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IZKAIA-1-4.xlsx" TargetMode="External"/></Relationships>
</file>

<file path=xl/externalLinks/_rels/externalLink6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VALENCIA-1-4.xls" TargetMode="External"/></Relationships>
</file>

<file path=xl/externalLinks/_rels/externalLink6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VALLADOLID-1-4.xls" TargetMode="External"/></Relationships>
</file>

<file path=xl/externalLinks/_rels/externalLink6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ZAMORA-1-4.xls" TargetMode="External"/></Relationships>
</file>

<file path=xl/externalLinks/_rels/externalLink6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ZARAGOZA-1-4.xls" TargetMode="External"/></Relationships>
</file>

<file path=xl/externalLinks/_rels/externalLink6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CEUTA-1-4.xls" TargetMode="External"/></Relationships>
</file>

<file path=xl/externalLinks/_rels/externalLink6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MELILLA-1-4.xls" TargetMode="External"/></Relationships>
</file>

<file path=xl/externalLinks/_rels/externalLink6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1-Nacional-1-4.xls" TargetMode="External"/></Relationships>
</file>

<file path=xl/externalLinks/_rels/externalLink6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BACETE-1-4.xls" TargetMode="External"/></Relationships>
</file>

<file path=xl/externalLinks/_rels/externalLink6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ICANTE-ALACANT-1-4.xls" TargetMode="External"/></Relationships>
</file>

<file path=xl/externalLinks/_rels/externalLink6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LMERIA-1-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BURGOS-1-4.xlsx" TargetMode="External"/></Relationships>
</file>

<file path=xl/externalLinks/_rels/externalLink6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RABA-ALAVA-1-4.xls" TargetMode="External"/></Relationships>
</file>

<file path=xl/externalLinks/_rels/externalLink6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STURIAS-1-4.xls" TargetMode="External"/></Relationships>
</file>

<file path=xl/externalLinks/_rels/externalLink6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VILA-1-4.xls" TargetMode="External"/></Relationships>
</file>

<file path=xl/externalLinks/_rels/externalLink6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ADAJOZ-1-4.xls" TargetMode="External"/></Relationships>
</file>

<file path=xl/externalLinks/_rels/externalLink6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ILLES%20BALEARS-1-4.xls" TargetMode="External"/></Relationships>
</file>

<file path=xl/externalLinks/_rels/externalLink6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ARCELONA-1-4.xls" TargetMode="External"/></Relationships>
</file>

<file path=xl/externalLinks/_rels/externalLink6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IZKAIA-1-4.xls" TargetMode="External"/></Relationships>
</file>

<file path=xl/externalLinks/_rels/externalLink6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BURGOS-1-4.xls" TargetMode="External"/></Relationships>
</file>

<file path=xl/externalLinks/_rels/externalLink6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CERES-1-4.xls" TargetMode="External"/></Relationships>
</file>

<file path=xl/externalLinks/_rels/externalLink6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DIZ-1-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CERES-1-4.xlsx" TargetMode="External"/></Relationships>
</file>

<file path=xl/externalLinks/_rels/externalLink6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NTABRIA-1-4.xls" TargetMode="External"/></Relationships>
</file>

<file path=xl/externalLinks/_rels/externalLink6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ASTELLON-CASTELLO-1-4.xls" TargetMode="External"/></Relationships>
</file>

<file path=xl/externalLinks/_rels/externalLink6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IUDAD%20REAL-1-4.xls" TargetMode="External"/></Relationships>
</file>

<file path=xl/externalLinks/_rels/externalLink6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ORDOBA-1-4.xls" TargetMode="External"/></Relationships>
</file>

<file path=xl/externalLinks/_rels/externalLink6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A%20CORU&#209;A-1-4.xls" TargetMode="External"/></Relationships>
</file>

<file path=xl/externalLinks/_rels/externalLink6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UENCA-1-4.xls" TargetMode="External"/></Relationships>
</file>

<file path=xl/externalLinks/_rels/externalLink6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IPUZKOA-1-4.xls" TargetMode="External"/></Relationships>
</file>

<file path=xl/externalLinks/_rels/externalLink6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IRONA-1-4.xls" TargetMode="External"/></Relationships>
</file>

<file path=xl/externalLinks/_rels/externalLink6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RANADA-1-4.xls" TargetMode="External"/></Relationships>
</file>

<file path=xl/externalLinks/_rels/externalLink6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GUADALAJARA-1-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DIZ-1-4.xlsx" TargetMode="External"/></Relationships>
</file>

<file path=xl/externalLinks/_rels/externalLink6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HUELVA-1-4.xls" TargetMode="External"/></Relationships>
</file>

<file path=xl/externalLinks/_rels/externalLink6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HUESCA-1-4.xls" TargetMode="External"/></Relationships>
</file>

<file path=xl/externalLinks/_rels/externalLink6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JAEN-1-4.xls" TargetMode="External"/></Relationships>
</file>

<file path=xl/externalLinks/_rels/externalLink6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EON-1-4.xls" TargetMode="External"/></Relationships>
</file>

<file path=xl/externalLinks/_rels/externalLink6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LEIDA-1-4.xls" TargetMode="External"/></Relationships>
</file>

<file path=xl/externalLinks/_rels/externalLink6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UGO-1-4.xls" TargetMode="External"/></Relationships>
</file>

<file path=xl/externalLinks/_rels/externalLink6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ADRID-1-4.xls" TargetMode="External"/></Relationships>
</file>

<file path=xl/externalLinks/_rels/externalLink6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ALAGA-1-4.xls" TargetMode="External"/></Relationships>
</file>

<file path=xl/externalLinks/_rels/externalLink6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URCIA-1-4.xls" TargetMode="External"/></Relationships>
</file>

<file path=xl/externalLinks/_rels/externalLink6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NAVARRA-1-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NTABRIA-1-4.xlsx" TargetMode="External"/></Relationships>
</file>

<file path=xl/externalLinks/_rels/externalLink6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OURENSE-1-4.xls" TargetMode="External"/></Relationships>
</file>

<file path=xl/externalLinks/_rels/externalLink6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PALENCIA-1-4.xls" TargetMode="External"/></Relationships>
</file>

<file path=xl/externalLinks/_rels/externalLink6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AS%20PALMAS-1-4.xls" TargetMode="External"/></Relationships>
</file>

<file path=xl/externalLinks/_rels/externalLink6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PONTEVEDRA-1-4.xls" TargetMode="External"/></Relationships>
</file>

<file path=xl/externalLinks/_rels/externalLink6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LA%20RIOJA-1-4.xls" TargetMode="External"/></Relationships>
</file>

<file path=xl/externalLinks/_rels/externalLink6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ALAMANCA-1-4.xls" TargetMode="External"/></Relationships>
</file>

<file path=xl/externalLinks/_rels/externalLink6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ANTA%20CRUZ%20DE%20TENERIFE-1-4.xls" TargetMode="External"/></Relationships>
</file>

<file path=xl/externalLinks/_rels/externalLink6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EGOVIA-1-4.xls" TargetMode="External"/></Relationships>
</file>

<file path=xl/externalLinks/_rels/externalLink6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EVILLA-1-4.xls" TargetMode="External"/></Relationships>
</file>

<file path=xl/externalLinks/_rels/externalLink6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SORIA-1-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ASTELLON-CASTELLO-1-4.xlsx" TargetMode="External"/></Relationships>
</file>

<file path=xl/externalLinks/_rels/externalLink6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ARRAGONA-1-4.xls" TargetMode="External"/></Relationships>
</file>

<file path=xl/externalLinks/_rels/externalLink6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ERUEL-1-4.xls" TargetMode="External"/></Relationships>
</file>

<file path=xl/externalLinks/_rels/externalLink6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TOLEDO-1-4.xls" TargetMode="External"/></Relationships>
</file>

<file path=xl/externalLinks/_rels/externalLink6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VALENCIA-1-4.xls" TargetMode="External"/></Relationships>
</file>

<file path=xl/externalLinks/_rels/externalLink6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VALLADOLID-1-4.xls" TargetMode="External"/></Relationships>
</file>

<file path=xl/externalLinks/_rels/externalLink6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ZAMORA-1-4.xls" TargetMode="External"/></Relationships>
</file>

<file path=xl/externalLinks/_rels/externalLink6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ZARAGOZA-1-4.xls" TargetMode="External"/></Relationships>
</file>

<file path=xl/externalLinks/_rels/externalLink6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CEUTA-1-4.xls" TargetMode="External"/></Relationships>
</file>

<file path=xl/externalLinks/_rels/externalLink6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MELILLA-1-4.xls" TargetMode="External"/></Relationships>
</file>

<file path=xl/externalLinks/_rels/externalLink6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10-Nacional-1-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IUDAD%20REAL-1-4.xlsx" TargetMode="External"/></Relationships>
</file>

<file path=xl/externalLinks/_rels/externalLink6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BACETE-1-4.xls" TargetMode="External"/></Relationships>
</file>

<file path=xl/externalLinks/_rels/externalLink6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ICANTE-ALACANT-1-4.xls" TargetMode="External"/></Relationships>
</file>

<file path=xl/externalLinks/_rels/externalLink6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LMERIA-1-4.xls" TargetMode="External"/></Relationships>
</file>

<file path=xl/externalLinks/_rels/externalLink6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RABA-ALAVA-1-4.xls" TargetMode="External"/></Relationships>
</file>

<file path=xl/externalLinks/_rels/externalLink6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STURIAS-1-4.xls" TargetMode="External"/></Relationships>
</file>

<file path=xl/externalLinks/_rels/externalLink6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VILA-1-4.xls" TargetMode="External"/></Relationships>
</file>

<file path=xl/externalLinks/_rels/externalLink6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ADAJOZ-1-4.xls" TargetMode="External"/></Relationships>
</file>

<file path=xl/externalLinks/_rels/externalLink6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ILLES%20BALEARS-1-4.xls" TargetMode="External"/></Relationships>
</file>

<file path=xl/externalLinks/_rels/externalLink6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ARCELONA-1-4.xls" TargetMode="External"/></Relationships>
</file>

<file path=xl/externalLinks/_rels/externalLink6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IZKAIA-1-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ADAJOZ-1-4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ORDOBA-1-4.xlsx" TargetMode="External"/></Relationships>
</file>

<file path=xl/externalLinks/_rels/externalLink7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BURGOS-1-4.xls" TargetMode="External"/></Relationships>
</file>

<file path=xl/externalLinks/_rels/externalLink7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CERES-1-4.xls" TargetMode="External"/></Relationships>
</file>

<file path=xl/externalLinks/_rels/externalLink7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DIZ-1-4.xls" TargetMode="External"/></Relationships>
</file>

<file path=xl/externalLinks/_rels/externalLink7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NTABRIA-1-4.xls" TargetMode="External"/></Relationships>
</file>

<file path=xl/externalLinks/_rels/externalLink7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ASTELLON-CASTELLO-1-4.xls" TargetMode="External"/></Relationships>
</file>

<file path=xl/externalLinks/_rels/externalLink7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IUDAD%20REAL-1-4.xls" TargetMode="External"/></Relationships>
</file>

<file path=xl/externalLinks/_rels/externalLink7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ORDOBA-1-4.xls" TargetMode="External"/></Relationships>
</file>

<file path=xl/externalLinks/_rels/externalLink7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A%20CORU&#209;A-1-4.xls" TargetMode="External"/></Relationships>
</file>

<file path=xl/externalLinks/_rels/externalLink7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UENCA-1-4.xls" TargetMode="External"/></Relationships>
</file>

<file path=xl/externalLinks/_rels/externalLink7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IPUZKOA-1-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A%20CORU&#209;A-1-4.xlsx" TargetMode="External"/></Relationships>
</file>

<file path=xl/externalLinks/_rels/externalLink7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IRONA-1-4.xls" TargetMode="External"/></Relationships>
</file>

<file path=xl/externalLinks/_rels/externalLink7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RANADA-1-4.xls" TargetMode="External"/></Relationships>
</file>

<file path=xl/externalLinks/_rels/externalLink7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GUADALAJARA-1-4.xls" TargetMode="External"/></Relationships>
</file>

<file path=xl/externalLinks/_rels/externalLink7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HUELVA-1-4.xls" TargetMode="External"/></Relationships>
</file>

<file path=xl/externalLinks/_rels/externalLink7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HUESCA-1-4.xls" TargetMode="External"/></Relationships>
</file>

<file path=xl/externalLinks/_rels/externalLink7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JAEN-1-4.xls" TargetMode="External"/></Relationships>
</file>

<file path=xl/externalLinks/_rels/externalLink7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EON-1-4.xls" TargetMode="External"/></Relationships>
</file>

<file path=xl/externalLinks/_rels/externalLink7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LEIDA-1-4.xls" TargetMode="External"/></Relationships>
</file>

<file path=xl/externalLinks/_rels/externalLink7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UGO-1-4.xls" TargetMode="External"/></Relationships>
</file>

<file path=xl/externalLinks/_rels/externalLink7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ADRID-1-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CUENCA-1-4.xlsx" TargetMode="External"/></Relationships>
</file>

<file path=xl/externalLinks/_rels/externalLink7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ALAGA-1-4.xls" TargetMode="External"/></Relationships>
</file>

<file path=xl/externalLinks/_rels/externalLink7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URCIA-1-4.xls" TargetMode="External"/></Relationships>
</file>

<file path=xl/externalLinks/_rels/externalLink7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NAVARRA-1-4.xls" TargetMode="External"/></Relationships>
</file>

<file path=xl/externalLinks/_rels/externalLink7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OURENSE-1-4.xls" TargetMode="External"/></Relationships>
</file>

<file path=xl/externalLinks/_rels/externalLink7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PALENCIA-1-4.xls" TargetMode="External"/></Relationships>
</file>

<file path=xl/externalLinks/_rels/externalLink7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AS%20PALMAS-1-4.xls" TargetMode="External"/></Relationships>
</file>

<file path=xl/externalLinks/_rels/externalLink7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PONTEVEDRA-1-4.xls" TargetMode="External"/></Relationships>
</file>

<file path=xl/externalLinks/_rels/externalLink7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LA%20RIOJA-1-4.xls" TargetMode="External"/></Relationships>
</file>

<file path=xl/externalLinks/_rels/externalLink7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ALAMANCA-1-4.xls" TargetMode="External"/></Relationships>
</file>

<file path=xl/externalLinks/_rels/externalLink7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ANTA%20CRUZ%20DE%20TENERIFE-1-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IPUZKOA-1-4.xlsx" TargetMode="External"/></Relationships>
</file>

<file path=xl/externalLinks/_rels/externalLink7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EGOVIA-1-4.xls" TargetMode="External"/></Relationships>
</file>

<file path=xl/externalLinks/_rels/externalLink7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EVILLA-1-4.xls" TargetMode="External"/></Relationships>
</file>

<file path=xl/externalLinks/_rels/externalLink7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SORIA-1-4.xls" TargetMode="External"/></Relationships>
</file>

<file path=xl/externalLinks/_rels/externalLink7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ARRAGONA-1-4.xls" TargetMode="External"/></Relationships>
</file>

<file path=xl/externalLinks/_rels/externalLink7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ERUEL-1-4.xls" TargetMode="External"/></Relationships>
</file>

<file path=xl/externalLinks/_rels/externalLink7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TOLEDO-1-4.xls" TargetMode="External"/></Relationships>
</file>

<file path=xl/externalLinks/_rels/externalLink7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VALENCIA-1-4.xls" TargetMode="External"/></Relationships>
</file>

<file path=xl/externalLinks/_rels/externalLink7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VALLADOLID-1-4.xls" TargetMode="External"/></Relationships>
</file>

<file path=xl/externalLinks/_rels/externalLink7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ZAMORA-1-4.xls" TargetMode="External"/></Relationships>
</file>

<file path=xl/externalLinks/_rels/externalLink7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ZARAGOZA-1-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IRONA-1-4.xlsx" TargetMode="External"/></Relationships>
</file>

<file path=xl/externalLinks/_rels/externalLink7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CEUTA-1-4.xls" TargetMode="External"/></Relationships>
</file>

<file path=xl/externalLinks/_rels/externalLink7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MELILLA-1-4.xls" TargetMode="External"/></Relationships>
</file>

<file path=xl/externalLinks/_rels/externalLink7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9-Nacional-1-4.xls" TargetMode="External"/></Relationships>
</file>

<file path=xl/externalLinks/_rels/externalLink7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BACETE-1-4.xls" TargetMode="External"/></Relationships>
</file>

<file path=xl/externalLinks/_rels/externalLink7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ICANTE-ALACANT-1-4.xls" TargetMode="External"/></Relationships>
</file>

<file path=xl/externalLinks/_rels/externalLink7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LMERIA-1-4.xls" TargetMode="External"/></Relationships>
</file>

<file path=xl/externalLinks/_rels/externalLink7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RABA-ALAVA-1-4.xls" TargetMode="External"/></Relationships>
</file>

<file path=xl/externalLinks/_rels/externalLink7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STURIAS-1-4.xls" TargetMode="External"/></Relationships>
</file>

<file path=xl/externalLinks/_rels/externalLink7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VILA-1-4.xls" TargetMode="External"/></Relationships>
</file>

<file path=xl/externalLinks/_rels/externalLink7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ADAJOZ-1-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RANADA-1-4.xlsx" TargetMode="External"/></Relationships>
</file>

<file path=xl/externalLinks/_rels/externalLink7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ILLES%20BALEARS-1-4.xls" TargetMode="External"/></Relationships>
</file>

<file path=xl/externalLinks/_rels/externalLink7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ARCELONA-1-4.xls" TargetMode="External"/></Relationships>
</file>

<file path=xl/externalLinks/_rels/externalLink7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IZKAIA-1-4.xls" TargetMode="External"/></Relationships>
</file>

<file path=xl/externalLinks/_rels/externalLink7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BURGOS-1-4.xls" TargetMode="External"/></Relationships>
</file>

<file path=xl/externalLinks/_rels/externalLink7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CERES-1-4.xls" TargetMode="External"/></Relationships>
</file>

<file path=xl/externalLinks/_rels/externalLink7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DIZ-1-4.xls" TargetMode="External"/></Relationships>
</file>

<file path=xl/externalLinks/_rels/externalLink7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NTABRIA-1-4.xls" TargetMode="External"/></Relationships>
</file>

<file path=xl/externalLinks/_rels/externalLink7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ASTELLON-CASTELLO-1-4.xls" TargetMode="External"/></Relationships>
</file>

<file path=xl/externalLinks/_rels/externalLink7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IUDAD%20REAL-1-4.xls" TargetMode="External"/></Relationships>
</file>

<file path=xl/externalLinks/_rels/externalLink7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ORDOBA-1-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GUADALAJARA-1-4.xlsx" TargetMode="External"/></Relationships>
</file>

<file path=xl/externalLinks/_rels/externalLink7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A%20CORU&#209;A-1-4.xls" TargetMode="External"/></Relationships>
</file>

<file path=xl/externalLinks/_rels/externalLink7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UENCA-1-4.xls" TargetMode="External"/></Relationships>
</file>

<file path=xl/externalLinks/_rels/externalLink7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IPUZKOA-1-4.xls" TargetMode="External"/></Relationships>
</file>

<file path=xl/externalLinks/_rels/externalLink7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IRONA-1-4.xls" TargetMode="External"/></Relationships>
</file>

<file path=xl/externalLinks/_rels/externalLink7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RANADA-1-4.xls" TargetMode="External"/></Relationships>
</file>

<file path=xl/externalLinks/_rels/externalLink7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GUADALAJARA-1-4.xls" TargetMode="External"/></Relationships>
</file>

<file path=xl/externalLinks/_rels/externalLink7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HUELVA-1-4.xls" TargetMode="External"/></Relationships>
</file>

<file path=xl/externalLinks/_rels/externalLink7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HUESCA-1-4.xls" TargetMode="External"/></Relationships>
</file>

<file path=xl/externalLinks/_rels/externalLink7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JAEN-1-4.xls" TargetMode="External"/></Relationships>
</file>

<file path=xl/externalLinks/_rels/externalLink7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EON-1-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HUELVA-1-4.xlsx" TargetMode="External"/></Relationships>
</file>

<file path=xl/externalLinks/_rels/externalLink7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LEIDA-1-4.xls" TargetMode="External"/></Relationships>
</file>

<file path=xl/externalLinks/_rels/externalLink7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UGO-1-4.xls" TargetMode="External"/></Relationships>
</file>

<file path=xl/externalLinks/_rels/externalLink7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ADRID-1-4.xls" TargetMode="External"/></Relationships>
</file>

<file path=xl/externalLinks/_rels/externalLink7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ALAGA-1-4.xls" TargetMode="External"/></Relationships>
</file>

<file path=xl/externalLinks/_rels/externalLink7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URCIA-1-4.xls" TargetMode="External"/></Relationships>
</file>

<file path=xl/externalLinks/_rels/externalLink7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NAVARRA-1-4.xls" TargetMode="External"/></Relationships>
</file>

<file path=xl/externalLinks/_rels/externalLink7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OURENSE-1-4.xls" TargetMode="External"/></Relationships>
</file>

<file path=xl/externalLinks/_rels/externalLink7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PALENCIA-1-4.xls" TargetMode="External"/></Relationships>
</file>

<file path=xl/externalLinks/_rels/externalLink7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AS%20PALMAS-1-4.xls" TargetMode="External"/></Relationships>
</file>

<file path=xl/externalLinks/_rels/externalLink7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PONTEVEDRA-1-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HUESCA-1-4.xlsx" TargetMode="External"/></Relationships>
</file>

<file path=xl/externalLinks/_rels/externalLink7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LA%20RIOJA-1-4.xls" TargetMode="External"/></Relationships>
</file>

<file path=xl/externalLinks/_rels/externalLink7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ALAMANCA-1-4.xls" TargetMode="External"/></Relationships>
</file>

<file path=xl/externalLinks/_rels/externalLink7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ANTA%20CRUZ%20DE%20TENERIFE-1-4.xls" TargetMode="External"/></Relationships>
</file>

<file path=xl/externalLinks/_rels/externalLink7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EGOVIA-1-4.xls" TargetMode="External"/></Relationships>
</file>

<file path=xl/externalLinks/_rels/externalLink7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EVILLA-1-4.xls" TargetMode="External"/></Relationships>
</file>

<file path=xl/externalLinks/_rels/externalLink7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SORIA-1-4.xls" TargetMode="External"/></Relationships>
</file>

<file path=xl/externalLinks/_rels/externalLink7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ARRAGONA-1-4.xls" TargetMode="External"/></Relationships>
</file>

<file path=xl/externalLinks/_rels/externalLink7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ERUEL-1-4.xls" TargetMode="External"/></Relationships>
</file>

<file path=xl/externalLinks/_rels/externalLink7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TOLEDO-1-4.xls" TargetMode="External"/></Relationships>
</file>

<file path=xl/externalLinks/_rels/externalLink7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VALENCIA-1-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JAEN-1-4.xlsx" TargetMode="External"/></Relationships>
</file>

<file path=xl/externalLinks/_rels/externalLink7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VALLADOLID-1-4.xls" TargetMode="External"/></Relationships>
</file>

<file path=xl/externalLinks/_rels/externalLink7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ZAMORA-1-4.xls" TargetMode="External"/></Relationships>
</file>

<file path=xl/externalLinks/_rels/externalLink7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ZARAGOZA-1-4.xls" TargetMode="External"/></Relationships>
</file>

<file path=xl/externalLinks/_rels/externalLink7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CEUTA-1-4.xls" TargetMode="External"/></Relationships>
</file>

<file path=xl/externalLinks/_rels/externalLink7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MELILLA-1-4.xls" TargetMode="External"/></Relationships>
</file>

<file path=xl/externalLinks/_rels/externalLink7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8-Nacional-1-4.xls" TargetMode="External"/></Relationships>
</file>

<file path=xl/externalLinks/_rels/externalLink7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BACETE-1-4.xls" TargetMode="External"/></Relationships>
</file>

<file path=xl/externalLinks/_rels/externalLink7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ICANTE-ALACANT-1-4.xls" TargetMode="External"/></Relationships>
</file>

<file path=xl/externalLinks/_rels/externalLink7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LMERIA-1-4.xls" TargetMode="External"/></Relationships>
</file>

<file path=xl/externalLinks/_rels/externalLink7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RABA-ALAVA-1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ILLES%20BALEARS-1-4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EON-1-4.xlsx" TargetMode="External"/></Relationships>
</file>

<file path=xl/externalLinks/_rels/externalLink8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STURIAS-1-4.xls" TargetMode="External"/></Relationships>
</file>

<file path=xl/externalLinks/_rels/externalLink8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VILA-1-4.xls" TargetMode="External"/></Relationships>
</file>

<file path=xl/externalLinks/_rels/externalLink8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ADAJOZ-1-4.xls" TargetMode="External"/></Relationships>
</file>

<file path=xl/externalLinks/_rels/externalLink8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ILLES%20BALEARS-1-4.xls" TargetMode="External"/></Relationships>
</file>

<file path=xl/externalLinks/_rels/externalLink8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ARCELONA-1-4.xls" TargetMode="External"/></Relationships>
</file>

<file path=xl/externalLinks/_rels/externalLink8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IZKAIA-1-4.xls" TargetMode="External"/></Relationships>
</file>

<file path=xl/externalLinks/_rels/externalLink8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BURGOS-1-4.xls" TargetMode="External"/></Relationships>
</file>

<file path=xl/externalLinks/_rels/externalLink8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CERES-1-4.xls" TargetMode="External"/></Relationships>
</file>

<file path=xl/externalLinks/_rels/externalLink8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DIZ-1-4.xls" TargetMode="External"/></Relationships>
</file>

<file path=xl/externalLinks/_rels/externalLink8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NTABRIA-1-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LEIDA-1-4.xlsx" TargetMode="External"/></Relationships>
</file>

<file path=xl/externalLinks/_rels/externalLink8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ASTELLON-CASTELLO-1-4.xls" TargetMode="External"/></Relationships>
</file>

<file path=xl/externalLinks/_rels/externalLink8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IUDAD%20REAL-1-4.xls" TargetMode="External"/></Relationships>
</file>

<file path=xl/externalLinks/_rels/externalLink8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ORDOBA-1-4.xls" TargetMode="External"/></Relationships>
</file>

<file path=xl/externalLinks/_rels/externalLink8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A%20CORU&#209;A-1-4.xls" TargetMode="External"/></Relationships>
</file>

<file path=xl/externalLinks/_rels/externalLink8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UENCA-1-4.xls" TargetMode="External"/></Relationships>
</file>

<file path=xl/externalLinks/_rels/externalLink8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IPUZKOA-1-4.xls" TargetMode="External"/></Relationships>
</file>

<file path=xl/externalLinks/_rels/externalLink8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IRONA-1-4.xls" TargetMode="External"/></Relationships>
</file>

<file path=xl/externalLinks/_rels/externalLink8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RANADA-1-4.xls" TargetMode="External"/></Relationships>
</file>

<file path=xl/externalLinks/_rels/externalLink8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GUADALAJARA-1-4.xls" TargetMode="External"/></Relationships>
</file>

<file path=xl/externalLinks/_rels/externalLink8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HUELVA-1-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UGO-1-4.xlsx" TargetMode="External"/></Relationships>
</file>

<file path=xl/externalLinks/_rels/externalLink8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HUESCA-1-4.xls" TargetMode="External"/></Relationships>
</file>

<file path=xl/externalLinks/_rels/externalLink8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JAEN-1-4.xls" TargetMode="External"/></Relationships>
</file>

<file path=xl/externalLinks/_rels/externalLink8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EON-1-4.xls" TargetMode="External"/></Relationships>
</file>

<file path=xl/externalLinks/_rels/externalLink8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LEIDA-1-4.xls" TargetMode="External"/></Relationships>
</file>

<file path=xl/externalLinks/_rels/externalLink8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UGO-1-4.xls" TargetMode="External"/></Relationships>
</file>

<file path=xl/externalLinks/_rels/externalLink8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ADRID-1-4.xls" TargetMode="External"/></Relationships>
</file>

<file path=xl/externalLinks/_rels/externalLink8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ALAGA-1-4.xls" TargetMode="External"/></Relationships>
</file>

<file path=xl/externalLinks/_rels/externalLink8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URCIA-1-4.xls" TargetMode="External"/></Relationships>
</file>

<file path=xl/externalLinks/_rels/externalLink8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NAVARRA-1-4.xls" TargetMode="External"/></Relationships>
</file>

<file path=xl/externalLinks/_rels/externalLink8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OURENSE-1-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ADRID-1-4.xlsx" TargetMode="External"/></Relationships>
</file>

<file path=xl/externalLinks/_rels/externalLink8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PALENCIA-1-4.xls" TargetMode="External"/></Relationships>
</file>

<file path=xl/externalLinks/_rels/externalLink8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AS%20PALMAS-1-4.xls" TargetMode="External"/></Relationships>
</file>

<file path=xl/externalLinks/_rels/externalLink8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PONTEVEDRA-1-4.xls" TargetMode="External"/></Relationships>
</file>

<file path=xl/externalLinks/_rels/externalLink8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LA%20RIOJA-1-4.xls" TargetMode="External"/></Relationships>
</file>

<file path=xl/externalLinks/_rels/externalLink8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ALAMANCA-1-4.xls" TargetMode="External"/></Relationships>
</file>

<file path=xl/externalLinks/_rels/externalLink8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ANTA%20CRUZ%20DE%20TENERIFE-1-4.xls" TargetMode="External"/></Relationships>
</file>

<file path=xl/externalLinks/_rels/externalLink8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EGOVIA-1-4.xls" TargetMode="External"/></Relationships>
</file>

<file path=xl/externalLinks/_rels/externalLink8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EVILLA-1-4.xls" TargetMode="External"/></Relationships>
</file>

<file path=xl/externalLinks/_rels/externalLink8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SORIA-1-4.xls" TargetMode="External"/></Relationships>
</file>

<file path=xl/externalLinks/_rels/externalLink8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ARRAGONA-1-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ALAGA-1-4.xlsx" TargetMode="External"/></Relationships>
</file>

<file path=xl/externalLinks/_rels/externalLink8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ERUEL-1-4.xls" TargetMode="External"/></Relationships>
</file>

<file path=xl/externalLinks/_rels/externalLink8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TOLEDO-1-4.xls" TargetMode="External"/></Relationships>
</file>

<file path=xl/externalLinks/_rels/externalLink8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VALENCIA-1-4.xls" TargetMode="External"/></Relationships>
</file>

<file path=xl/externalLinks/_rels/externalLink8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VALLADOLID-1-4.xls" TargetMode="External"/></Relationships>
</file>

<file path=xl/externalLinks/_rels/externalLink8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ZAMORA-1-4.xls" TargetMode="External"/></Relationships>
</file>

<file path=xl/externalLinks/_rels/externalLink8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ZARAGOZA-1-4.xls" TargetMode="External"/></Relationships>
</file>

<file path=xl/externalLinks/_rels/externalLink8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CEUTA-1-4.xls" TargetMode="External"/></Relationships>
</file>

<file path=xl/externalLinks/_rels/externalLink8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MELILLA-1-4.xls" TargetMode="External"/></Relationships>
</file>

<file path=xl/externalLinks/_rels/externalLink8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7-Nacional-1-4.xls" TargetMode="External"/></Relationships>
</file>

<file path=xl/externalLinks/_rels/externalLink8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BACETE-1-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MURCIA-1-4.xlsx" TargetMode="External"/></Relationships>
</file>

<file path=xl/externalLinks/_rels/externalLink8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ICANTE-ALACANT-1-4.xls" TargetMode="External"/></Relationships>
</file>

<file path=xl/externalLinks/_rels/externalLink8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LMERIA-1-4.xls" TargetMode="External"/></Relationships>
</file>

<file path=xl/externalLinks/_rels/externalLink8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RABA-ALAVA-1-4.xls" TargetMode="External"/></Relationships>
</file>

<file path=xl/externalLinks/_rels/externalLink8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STURIAS-1-4.xls" TargetMode="External"/></Relationships>
</file>

<file path=xl/externalLinks/_rels/externalLink8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VILA-1-4.xls" TargetMode="External"/></Relationships>
</file>

<file path=xl/externalLinks/_rels/externalLink8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ADAJOZ-1-4.xls" TargetMode="External"/></Relationships>
</file>

<file path=xl/externalLinks/_rels/externalLink8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ILLES%20BALEARS-1-4.xls" TargetMode="External"/></Relationships>
</file>

<file path=xl/externalLinks/_rels/externalLink8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ARCELONA-1-4.xls" TargetMode="External"/></Relationships>
</file>

<file path=xl/externalLinks/_rels/externalLink8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IZKAIA-1-4.xls" TargetMode="External"/></Relationships>
</file>

<file path=xl/externalLinks/_rels/externalLink8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BURGOS-1-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NAVARRA-1-4.xlsx" TargetMode="External"/></Relationships>
</file>

<file path=xl/externalLinks/_rels/externalLink8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CERES-1-4.xls" TargetMode="External"/></Relationships>
</file>

<file path=xl/externalLinks/_rels/externalLink8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DIZ-1-4.xls" TargetMode="External"/></Relationships>
</file>

<file path=xl/externalLinks/_rels/externalLink8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NTABRIA-1-4.xls" TargetMode="External"/></Relationships>
</file>

<file path=xl/externalLinks/_rels/externalLink8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ASTELLON-CASTELLO-1-4.xls" TargetMode="External"/></Relationships>
</file>

<file path=xl/externalLinks/_rels/externalLink8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IUDAD%20REAL-1-4.xls" TargetMode="External"/></Relationships>
</file>

<file path=xl/externalLinks/_rels/externalLink8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ORDOBA-1-4.xls" TargetMode="External"/></Relationships>
</file>

<file path=xl/externalLinks/_rels/externalLink8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A%20CORU&#209;A-1-4.xls" TargetMode="External"/></Relationships>
</file>

<file path=xl/externalLinks/_rels/externalLink8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UENCA-1-4.xls" TargetMode="External"/></Relationships>
</file>

<file path=xl/externalLinks/_rels/externalLink8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IPUZKOA-1-4.xls" TargetMode="External"/></Relationships>
</file>

<file path=xl/externalLinks/_rels/externalLink8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IRONA-1-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OURENSE-1-4.xlsx" TargetMode="External"/></Relationships>
</file>

<file path=xl/externalLinks/_rels/externalLink8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RANADA-1-4.xls" TargetMode="External"/></Relationships>
</file>

<file path=xl/externalLinks/_rels/externalLink8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GUADALAJARA-1-4.xls" TargetMode="External"/></Relationships>
</file>

<file path=xl/externalLinks/_rels/externalLink8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HUELVA-1-4.xls" TargetMode="External"/></Relationships>
</file>

<file path=xl/externalLinks/_rels/externalLink8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HUESCA-1-4.xls" TargetMode="External"/></Relationships>
</file>

<file path=xl/externalLinks/_rels/externalLink8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JAEN-1-4.xls" TargetMode="External"/></Relationships>
</file>

<file path=xl/externalLinks/_rels/externalLink8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EON-1-4.xls" TargetMode="External"/></Relationships>
</file>

<file path=xl/externalLinks/_rels/externalLink8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LEIDA-1-4.xls" TargetMode="External"/></Relationships>
</file>

<file path=xl/externalLinks/_rels/externalLink8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UGO-1-4.xls" TargetMode="External"/></Relationships>
</file>

<file path=xl/externalLinks/_rels/externalLink8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ADRID-1-4.xls" TargetMode="External"/></Relationships>
</file>

<file path=xl/externalLinks/_rels/externalLink8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ALAGA-1-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PALENCIA-1-4.xlsx" TargetMode="External"/></Relationships>
</file>

<file path=xl/externalLinks/_rels/externalLink8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URCIA-1-4.xls" TargetMode="External"/></Relationships>
</file>

<file path=xl/externalLinks/_rels/externalLink8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NAVARRA-1-4.xls" TargetMode="External"/></Relationships>
</file>

<file path=xl/externalLinks/_rels/externalLink8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OURENSE-1-4.xls" TargetMode="External"/></Relationships>
</file>

<file path=xl/externalLinks/_rels/externalLink8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PALENCIA-1-4.xls" TargetMode="External"/></Relationships>
</file>

<file path=xl/externalLinks/_rels/externalLink8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AS%20PALMAS-1-4.xls" TargetMode="External"/></Relationships>
</file>

<file path=xl/externalLinks/_rels/externalLink8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PONTEVEDRA-1-4.xls" TargetMode="External"/></Relationships>
</file>

<file path=xl/externalLinks/_rels/externalLink8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LA%20RIOJA-1-4.xls" TargetMode="External"/></Relationships>
</file>

<file path=xl/externalLinks/_rels/externalLink8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ALAMANCA-1-4.xls" TargetMode="External"/></Relationships>
</file>

<file path=xl/externalLinks/_rels/externalLink8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ANTA%20CRUZ%20DE%20TENERIFE-1-4.xls" TargetMode="External"/></Relationships>
</file>

<file path=xl/externalLinks/_rels/externalLink8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EGOVIA-1-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AS%20PALMAS-1-4.xlsx" TargetMode="External"/></Relationships>
</file>

<file path=xl/externalLinks/_rels/externalLink8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EVILLA-1-4.xls" TargetMode="External"/></Relationships>
</file>

<file path=xl/externalLinks/_rels/externalLink8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SORIA-1-4.xls" TargetMode="External"/></Relationships>
</file>

<file path=xl/externalLinks/_rels/externalLink8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ARRAGONA-1-4.xls" TargetMode="External"/></Relationships>
</file>

<file path=xl/externalLinks/_rels/externalLink8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ERUEL-1-4.xls" TargetMode="External"/></Relationships>
</file>

<file path=xl/externalLinks/_rels/externalLink8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TOLEDO-1-4.xls" TargetMode="External"/></Relationships>
</file>

<file path=xl/externalLinks/_rels/externalLink8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VALENCIA-1-4.xls" TargetMode="External"/></Relationships>
</file>

<file path=xl/externalLinks/_rels/externalLink8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VALLADOLID-1-4.xls" TargetMode="External"/></Relationships>
</file>

<file path=xl/externalLinks/_rels/externalLink8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ZAMORA-1-4.xls" TargetMode="External"/></Relationships>
</file>

<file path=xl/externalLinks/_rels/externalLink8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ZARAGOZA-1-4.xls" TargetMode="External"/></Relationships>
</file>

<file path=xl/externalLinks/_rels/externalLink8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CEUTA-1-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2-BARCELONA-1-4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PONTEVEDRA-1-4.xlsx" TargetMode="External"/></Relationships>
</file>

<file path=xl/externalLinks/_rels/externalLink90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MELILLA-1-4.xls" TargetMode="External"/></Relationships>
</file>

<file path=xl/externalLinks/_rels/externalLink90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6-Nacional-1-4.xls" TargetMode="External"/></Relationships>
</file>

<file path=xl/externalLinks/_rels/externalLink90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BACETE-1-4.xls" TargetMode="External"/></Relationships>
</file>

<file path=xl/externalLinks/_rels/externalLink90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ICANTE-ALACANT-1-4.xls" TargetMode="External"/></Relationships>
</file>

<file path=xl/externalLinks/_rels/externalLink90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LMERIA-1-4.xls" TargetMode="External"/></Relationships>
</file>

<file path=xl/externalLinks/_rels/externalLink90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RABA-ALAVA-1-4.xls" TargetMode="External"/></Relationships>
</file>

<file path=xl/externalLinks/_rels/externalLink90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STURIAS-1-4.xls" TargetMode="External"/></Relationships>
</file>

<file path=xl/externalLinks/_rels/externalLink90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VILA-1-4.xls" TargetMode="External"/></Relationships>
</file>

<file path=xl/externalLinks/_rels/externalLink90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ADAJOZ-1-4.xls" TargetMode="External"/></Relationships>
</file>

<file path=xl/externalLinks/_rels/externalLink90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ILLES%20BALEARS-1-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LA%20RIOJA-1-4.xlsx" TargetMode="External"/></Relationships>
</file>

<file path=xl/externalLinks/_rels/externalLink91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ARCELONA-1-4.xls" TargetMode="External"/></Relationships>
</file>

<file path=xl/externalLinks/_rels/externalLink91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IZKAIA-1-4.xls" TargetMode="External"/></Relationships>
</file>

<file path=xl/externalLinks/_rels/externalLink91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BURGOS-1-4.xls" TargetMode="External"/></Relationships>
</file>

<file path=xl/externalLinks/_rels/externalLink91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CERES-1-4.xls" TargetMode="External"/></Relationships>
</file>

<file path=xl/externalLinks/_rels/externalLink91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DIZ-1-4.xls" TargetMode="External"/></Relationships>
</file>

<file path=xl/externalLinks/_rels/externalLink91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NTABRIA-1-4.xls" TargetMode="External"/></Relationships>
</file>

<file path=xl/externalLinks/_rels/externalLink91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ASTELLON-CASTELLO-1-4.xls" TargetMode="External"/></Relationships>
</file>

<file path=xl/externalLinks/_rels/externalLink91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IUDAD%20REAL-1-4.xls" TargetMode="External"/></Relationships>
</file>

<file path=xl/externalLinks/_rels/externalLink91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ORDOBA-1-4.xls" TargetMode="External"/></Relationships>
</file>

<file path=xl/externalLinks/_rels/externalLink91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A%20CORU&#209;A-1-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ALAMANCA-1-4.xlsx" TargetMode="External"/></Relationships>
</file>

<file path=xl/externalLinks/_rels/externalLink92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UENCA-1-4.xls" TargetMode="External"/></Relationships>
</file>

<file path=xl/externalLinks/_rels/externalLink92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IPUZKOA-1-4.xls" TargetMode="External"/></Relationships>
</file>

<file path=xl/externalLinks/_rels/externalLink92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IRONA-1-4.xls" TargetMode="External"/></Relationships>
</file>

<file path=xl/externalLinks/_rels/externalLink92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RANADA-1-4.xls" TargetMode="External"/></Relationships>
</file>

<file path=xl/externalLinks/_rels/externalLink92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GUADALAJARA-1-4.xls" TargetMode="External"/></Relationships>
</file>

<file path=xl/externalLinks/_rels/externalLink92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HUELVA-1-4.xls" TargetMode="External"/></Relationships>
</file>

<file path=xl/externalLinks/_rels/externalLink92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HUESCA-1-4.xls" TargetMode="External"/></Relationships>
</file>

<file path=xl/externalLinks/_rels/externalLink92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JAEN-1-4.xls" TargetMode="External"/></Relationships>
</file>

<file path=xl/externalLinks/_rels/externalLink9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EON-1-4.xls" TargetMode="External"/></Relationships>
</file>

<file path=xl/externalLinks/_rels/externalLink92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LEIDA-1-4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ANTA%20CRUZ%20DE%20TENERIFE-1-4.xlsx" TargetMode="External"/></Relationships>
</file>

<file path=xl/externalLinks/_rels/externalLink9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UGO-1-4.xls" TargetMode="External"/></Relationships>
</file>

<file path=xl/externalLinks/_rels/externalLink93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ADRID-1-4.xls" TargetMode="External"/></Relationships>
</file>

<file path=xl/externalLinks/_rels/externalLink93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ALAGA-1-4.xls" TargetMode="External"/></Relationships>
</file>

<file path=xl/externalLinks/_rels/externalLink9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URCIA-1-4.xls" TargetMode="External"/></Relationships>
</file>

<file path=xl/externalLinks/_rels/externalLink9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NAVARRA-1-4.xls" TargetMode="External"/></Relationships>
</file>

<file path=xl/externalLinks/_rels/externalLink93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OURENSE-1-4.xls" TargetMode="External"/></Relationships>
</file>

<file path=xl/externalLinks/_rels/externalLink9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PALENCIA-1-4.xls" TargetMode="External"/></Relationships>
</file>

<file path=xl/externalLinks/_rels/externalLink9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AS%20PALMAS-1-4.xls" TargetMode="External"/></Relationships>
</file>

<file path=xl/externalLinks/_rels/externalLink93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PONTEVEDRA-1-4.xls" TargetMode="External"/></Relationships>
</file>

<file path=xl/externalLinks/_rels/externalLink93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LA%20RIOJA-1-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EGOVIA-1-4.xlsx" TargetMode="External"/></Relationships>
</file>

<file path=xl/externalLinks/_rels/externalLink94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ALAMANCA-1-4.xls" TargetMode="External"/></Relationships>
</file>

<file path=xl/externalLinks/_rels/externalLink94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ANTA%20CRUZ%20DE%20TENERIFE-1-4.xls" TargetMode="External"/></Relationships>
</file>

<file path=xl/externalLinks/_rels/externalLink94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EGOVIA-1-4.xls" TargetMode="External"/></Relationships>
</file>

<file path=xl/externalLinks/_rels/externalLink94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EVILLA-1-4.xls" TargetMode="External"/></Relationships>
</file>

<file path=xl/externalLinks/_rels/externalLink94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SORIA-1-4.xls" TargetMode="External"/></Relationships>
</file>

<file path=xl/externalLinks/_rels/externalLink94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ARRAGONA-1-4.xls" TargetMode="External"/></Relationships>
</file>

<file path=xl/externalLinks/_rels/externalLink94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ERUEL-1-4.xls" TargetMode="External"/></Relationships>
</file>

<file path=xl/externalLinks/_rels/externalLink94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TOLEDO-1-4.xls" TargetMode="External"/></Relationships>
</file>

<file path=xl/externalLinks/_rels/externalLink94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VALENCIA-1-4.xls" TargetMode="External"/></Relationships>
</file>

<file path=xl/externalLinks/_rels/externalLink94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VALLADOLID-1-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EVILLA-1-4.xlsx" TargetMode="External"/></Relationships>
</file>

<file path=xl/externalLinks/_rels/externalLink95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ZAMORA-1-4.xls" TargetMode="External"/></Relationships>
</file>

<file path=xl/externalLinks/_rels/externalLink95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ZARAGOZA-1-4.xls" TargetMode="External"/></Relationships>
</file>

<file path=xl/externalLinks/_rels/externalLink95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CEUTA-1-4.xls" TargetMode="External"/></Relationships>
</file>

<file path=xl/externalLinks/_rels/externalLink9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MELILLA-1-4.xls" TargetMode="External"/></Relationships>
</file>

<file path=xl/externalLinks/_rels/externalLink95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5-Nacional-1-4.xls" TargetMode="External"/></Relationships>
</file>

<file path=xl/externalLinks/_rels/externalLink95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BACETE-1-4.xls" TargetMode="External"/></Relationships>
</file>

<file path=xl/externalLinks/_rels/externalLink95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ICANTE-ALACANT-1-4.xls" TargetMode="External"/></Relationships>
</file>

<file path=xl/externalLinks/_rels/externalLink95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LMERIA-1-4.xls" TargetMode="External"/></Relationships>
</file>

<file path=xl/externalLinks/_rels/externalLink95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RABA-ALAVA-1-4.xls" TargetMode="External"/></Relationships>
</file>

<file path=xl/externalLinks/_rels/externalLink95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STURIAS-1-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SORIA-1-4.xlsx" TargetMode="External"/></Relationships>
</file>

<file path=xl/externalLinks/_rels/externalLink96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VILA-1-4.xls" TargetMode="External"/></Relationships>
</file>

<file path=xl/externalLinks/_rels/externalLink9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ADAJOZ-1-4.xls" TargetMode="External"/></Relationships>
</file>

<file path=xl/externalLinks/_rels/externalLink96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ILLES%20BALEARS-1-4.xls" TargetMode="External"/></Relationships>
</file>

<file path=xl/externalLinks/_rels/externalLink96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ARCELONA-1-4.xls" TargetMode="External"/></Relationships>
</file>

<file path=xl/externalLinks/_rels/externalLink96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IZKAIA-1-4.xls" TargetMode="External"/></Relationships>
</file>

<file path=xl/externalLinks/_rels/externalLink96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BURGOS-1-4.xls" TargetMode="External"/></Relationships>
</file>

<file path=xl/externalLinks/_rels/externalLink96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CERES-1-4.xls" TargetMode="External"/></Relationships>
</file>

<file path=xl/externalLinks/_rels/externalLink96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DIZ-1-4.xls" TargetMode="External"/></Relationships>
</file>

<file path=xl/externalLinks/_rels/externalLink96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NTABRIA-1-4.xls" TargetMode="External"/></Relationships>
</file>

<file path=xl/externalLinks/_rels/externalLink96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ASTELLON-CASTELLO-1-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ARRAGONA-1-4.xlsx" TargetMode="External"/></Relationships>
</file>

<file path=xl/externalLinks/_rels/externalLink97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IUDAD%20REAL-1-4.xls" TargetMode="External"/></Relationships>
</file>

<file path=xl/externalLinks/_rels/externalLink97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ORDOBA-1-4.xls" TargetMode="External"/></Relationships>
</file>

<file path=xl/externalLinks/_rels/externalLink97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A%20CORU&#209;A-1-4.xls" TargetMode="External"/></Relationships>
</file>

<file path=xl/externalLinks/_rels/externalLink97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CUENCA-1-4.xls" TargetMode="External"/></Relationships>
</file>

<file path=xl/externalLinks/_rels/externalLink97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IPUZKOA-1-4.xls" TargetMode="External"/></Relationships>
</file>

<file path=xl/externalLinks/_rels/externalLink97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IRONA-1-4.xls" TargetMode="External"/></Relationships>
</file>

<file path=xl/externalLinks/_rels/externalLink97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RANADA-1-4.xls" TargetMode="External"/></Relationships>
</file>

<file path=xl/externalLinks/_rels/externalLink97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GUADALAJARA-1-4.xls" TargetMode="External"/></Relationships>
</file>

<file path=xl/externalLinks/_rels/externalLink97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HUELVA-1-4.xls" TargetMode="External"/></Relationships>
</file>

<file path=xl/externalLinks/_rels/externalLink97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HUESCA-1-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ERUEL-1-4.xlsx" TargetMode="External"/></Relationships>
</file>

<file path=xl/externalLinks/_rels/externalLink98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JAEN-1-4.xls" TargetMode="External"/></Relationships>
</file>

<file path=xl/externalLinks/_rels/externalLink98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EON-1-4.xls" TargetMode="External"/></Relationships>
</file>

<file path=xl/externalLinks/_rels/externalLink98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LEIDA-1-4.xls" TargetMode="External"/></Relationships>
</file>

<file path=xl/externalLinks/_rels/externalLink98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UGO-1-4.xls" TargetMode="External"/></Relationships>
</file>

<file path=xl/externalLinks/_rels/externalLink98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ADRID-1-4.xls" TargetMode="External"/></Relationships>
</file>

<file path=xl/externalLinks/_rels/externalLink98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ALAGA-1-4.xls" TargetMode="External"/></Relationships>
</file>

<file path=xl/externalLinks/_rels/externalLink98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MURCIA-1-4.xls" TargetMode="External"/></Relationships>
</file>

<file path=xl/externalLinks/_rels/externalLink98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NAVARRA-1-4.xls" TargetMode="External"/></Relationships>
</file>

<file path=xl/externalLinks/_rels/externalLink98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OURENSE-1-4.xls" TargetMode="External"/></Relationships>
</file>

<file path=xl/externalLinks/_rels/externalLink98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PALENCIA-1-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21-TOLEDO-1-4.xlsx" TargetMode="External"/></Relationships>
</file>

<file path=xl/externalLinks/_rels/externalLink990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AS%20PALMAS-1-4.xls" TargetMode="External"/></Relationships>
</file>

<file path=xl/externalLinks/_rels/externalLink9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PONTEVEDRA-1-4.xls" TargetMode="External"/></Relationships>
</file>

<file path=xl/externalLinks/_rels/externalLink99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LA%20RIOJA-1-4.xls" TargetMode="External"/></Relationships>
</file>

<file path=xl/externalLinks/_rels/externalLink99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ALAMANCA-1-4.xls" TargetMode="External"/></Relationships>
</file>

<file path=xl/externalLinks/_rels/externalLink99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ANTA%20CRUZ%20DE%20TENERIFE-1-4.xls" TargetMode="External"/></Relationships>
</file>

<file path=xl/externalLinks/_rels/externalLink995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EGOVIA-1-4.xls" TargetMode="External"/></Relationships>
</file>

<file path=xl/externalLinks/_rels/externalLink99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EVILLA-1-4.xls" TargetMode="External"/></Relationships>
</file>

<file path=xl/externalLinks/_rels/externalLink99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SORIA-1-4.xls" TargetMode="External"/></Relationships>
</file>

<file path=xl/externalLinks/_rels/externalLink99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ARRAGONA-1-4.xls" TargetMode="External"/></Relationships>
</file>

<file path=xl/externalLinks/_rels/externalLink999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0%20PLAN%20NACIONAL%20DE%20ESTADISTICA%20JUDICIAL/3002%20Actividad%20de%20los%20&#211;rganos%20Judiciales%20-Series%20Estadisticas/provincias/2004-TERUEL-1-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19009</v>
          </cell>
        </row>
        <row r="28">
          <cell r="E28">
            <v>18582</v>
          </cell>
        </row>
        <row r="31">
          <cell r="E31">
            <v>894</v>
          </cell>
        </row>
        <row r="35">
          <cell r="E35">
            <v>2831</v>
          </cell>
        </row>
        <row r="36">
          <cell r="E36">
            <v>41316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54016</v>
          </cell>
        </row>
        <row r="28">
          <cell r="E28">
            <v>49669</v>
          </cell>
        </row>
        <row r="31">
          <cell r="E31">
            <v>1904</v>
          </cell>
        </row>
        <row r="35">
          <cell r="E35">
            <v>13572</v>
          </cell>
        </row>
        <row r="36">
          <cell r="E36">
            <v>119161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150029</v>
          </cell>
        </row>
        <row r="28">
          <cell r="E28">
            <v>163199</v>
          </cell>
        </row>
        <row r="31">
          <cell r="E31">
            <v>5185</v>
          </cell>
        </row>
        <row r="35">
          <cell r="E35">
            <v>20104</v>
          </cell>
        </row>
        <row r="36">
          <cell r="E36">
            <v>338517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11759</v>
          </cell>
        </row>
        <row r="28">
          <cell r="E28">
            <v>41527</v>
          </cell>
        </row>
        <row r="31">
          <cell r="E31">
            <v>998</v>
          </cell>
        </row>
        <row r="35">
          <cell r="E35">
            <v>2329</v>
          </cell>
        </row>
        <row r="36">
          <cell r="E36">
            <v>56613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71563</v>
          </cell>
        </row>
        <row r="28">
          <cell r="E28">
            <v>361075</v>
          </cell>
        </row>
        <row r="31">
          <cell r="E31">
            <v>5999</v>
          </cell>
        </row>
        <row r="35">
          <cell r="E35">
            <v>16962</v>
          </cell>
        </row>
        <row r="36">
          <cell r="E36">
            <v>455599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14200</v>
          </cell>
        </row>
        <row r="28">
          <cell r="E28">
            <v>46614</v>
          </cell>
        </row>
        <row r="31">
          <cell r="E31">
            <v>915</v>
          </cell>
        </row>
        <row r="35">
          <cell r="E35">
            <v>3183</v>
          </cell>
        </row>
        <row r="36">
          <cell r="E36">
            <v>64912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4510</v>
          </cell>
        </row>
        <row r="28">
          <cell r="E28">
            <v>12975</v>
          </cell>
        </row>
        <row r="31">
          <cell r="E31">
            <v>314</v>
          </cell>
        </row>
        <row r="35">
          <cell r="E35">
            <v>1131</v>
          </cell>
        </row>
        <row r="36">
          <cell r="E36">
            <v>18930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24573</v>
          </cell>
        </row>
        <row r="28">
          <cell r="E28">
            <v>87822</v>
          </cell>
        </row>
        <row r="31">
          <cell r="E31">
            <v>2181</v>
          </cell>
        </row>
        <row r="35">
          <cell r="E35">
            <v>5567</v>
          </cell>
        </row>
        <row r="36">
          <cell r="E36">
            <v>120143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2008</v>
          </cell>
        </row>
        <row r="40">
          <cell r="E40">
            <v>17810</v>
          </cell>
        </row>
        <row r="47">
          <cell r="E47">
            <v>414</v>
          </cell>
        </row>
        <row r="54">
          <cell r="E54">
            <v>620</v>
          </cell>
        </row>
        <row r="61">
          <cell r="E61">
            <v>20852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2097</v>
          </cell>
        </row>
        <row r="40">
          <cell r="E40">
            <v>15830</v>
          </cell>
        </row>
        <row r="47">
          <cell r="E47">
            <v>926</v>
          </cell>
        </row>
        <row r="54">
          <cell r="E54">
            <v>1005</v>
          </cell>
        </row>
        <row r="61">
          <cell r="E61">
            <v>19858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1197372</v>
          </cell>
        </row>
        <row r="39">
          <cell r="E39">
            <v>5688490</v>
          </cell>
        </row>
        <row r="46">
          <cell r="E46">
            <v>217501</v>
          </cell>
        </row>
        <row r="53">
          <cell r="E53">
            <v>349696</v>
          </cell>
        </row>
        <row r="60">
          <cell r="E60">
            <v>7453408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8563</v>
          </cell>
        </row>
        <row r="28">
          <cell r="E28">
            <v>30897</v>
          </cell>
        </row>
        <row r="31">
          <cell r="E31">
            <v>790</v>
          </cell>
        </row>
        <row r="35">
          <cell r="E35">
            <v>2081</v>
          </cell>
        </row>
        <row r="36">
          <cell r="E36">
            <v>42331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44490</v>
          </cell>
        </row>
        <row r="28">
          <cell r="E28">
            <v>281259</v>
          </cell>
        </row>
        <row r="31">
          <cell r="E31">
            <v>2572</v>
          </cell>
        </row>
        <row r="35">
          <cell r="E35">
            <v>8453</v>
          </cell>
        </row>
        <row r="36">
          <cell r="E36">
            <v>336774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30709</v>
          </cell>
        </row>
        <row r="28">
          <cell r="E28">
            <v>23099</v>
          </cell>
        </row>
        <row r="31">
          <cell r="E31">
            <v>1272</v>
          </cell>
        </row>
        <row r="35">
          <cell r="E35">
            <v>4665</v>
          </cell>
        </row>
        <row r="36">
          <cell r="E36">
            <v>59745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13690</v>
          </cell>
        </row>
        <row r="28">
          <cell r="E28">
            <v>84723</v>
          </cell>
        </row>
        <row r="31">
          <cell r="E31">
            <v>858</v>
          </cell>
        </row>
        <row r="35">
          <cell r="E35">
            <v>4012</v>
          </cell>
        </row>
        <row r="36">
          <cell r="E36">
            <v>103283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7477</v>
          </cell>
        </row>
        <row r="28">
          <cell r="E28">
            <v>25264</v>
          </cell>
        </row>
        <row r="31">
          <cell r="E31">
            <v>787</v>
          </cell>
        </row>
        <row r="35">
          <cell r="E35">
            <v>2394</v>
          </cell>
        </row>
        <row r="36">
          <cell r="E36">
            <v>35922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31722</v>
          </cell>
        </row>
        <row r="28">
          <cell r="E28">
            <v>89526</v>
          </cell>
        </row>
        <row r="31">
          <cell r="E31">
            <v>1955</v>
          </cell>
        </row>
        <row r="35">
          <cell r="E35">
            <v>13633</v>
          </cell>
        </row>
        <row r="36">
          <cell r="E36">
            <v>136836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3326</v>
          </cell>
        </row>
        <row r="28">
          <cell r="E28">
            <v>13059</v>
          </cell>
        </row>
        <row r="31">
          <cell r="E31">
            <v>238</v>
          </cell>
        </row>
        <row r="35">
          <cell r="E35">
            <v>374</v>
          </cell>
        </row>
        <row r="36">
          <cell r="E36">
            <v>16997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14283</v>
          </cell>
        </row>
        <row r="28">
          <cell r="E28">
            <v>62190</v>
          </cell>
        </row>
        <row r="31">
          <cell r="E31">
            <v>898</v>
          </cell>
        </row>
        <row r="35">
          <cell r="E35">
            <v>2584</v>
          </cell>
        </row>
        <row r="36">
          <cell r="E36">
            <v>79955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31546</v>
          </cell>
        </row>
        <row r="28">
          <cell r="E28">
            <v>159513</v>
          </cell>
        </row>
        <row r="31">
          <cell r="E31">
            <v>837</v>
          </cell>
        </row>
        <row r="35">
          <cell r="E35">
            <v>4173</v>
          </cell>
        </row>
        <row r="36">
          <cell r="E36">
            <v>196069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138417</v>
          </cell>
        </row>
        <row r="28">
          <cell r="E28">
            <v>614049</v>
          </cell>
        </row>
        <row r="31">
          <cell r="E31">
            <v>5436</v>
          </cell>
        </row>
        <row r="35">
          <cell r="E35">
            <v>40227</v>
          </cell>
        </row>
        <row r="36">
          <cell r="E36">
            <v>798129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26325</v>
          </cell>
        </row>
        <row r="28">
          <cell r="E28">
            <v>98851</v>
          </cell>
        </row>
        <row r="31">
          <cell r="E31">
            <v>1568</v>
          </cell>
        </row>
        <row r="35">
          <cell r="E35">
            <v>9085</v>
          </cell>
        </row>
        <row r="36">
          <cell r="E36">
            <v>135829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10102</v>
          </cell>
        </row>
        <row r="28">
          <cell r="E28">
            <v>35035</v>
          </cell>
        </row>
        <row r="31">
          <cell r="E31">
            <v>485</v>
          </cell>
        </row>
        <row r="35">
          <cell r="E35">
            <v>2965</v>
          </cell>
        </row>
        <row r="36">
          <cell r="E36">
            <v>48587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8462</v>
          </cell>
        </row>
        <row r="28">
          <cell r="E28">
            <v>29352</v>
          </cell>
        </row>
        <row r="31">
          <cell r="E31">
            <v>556</v>
          </cell>
        </row>
        <row r="35">
          <cell r="E35">
            <v>2117</v>
          </cell>
        </row>
        <row r="36">
          <cell r="E36">
            <v>40487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8120</v>
          </cell>
        </row>
        <row r="28">
          <cell r="E28">
            <v>8512</v>
          </cell>
        </row>
        <row r="31">
          <cell r="E31">
            <v>345</v>
          </cell>
        </row>
        <row r="35">
          <cell r="E35">
            <v>1174</v>
          </cell>
        </row>
        <row r="36">
          <cell r="E36">
            <v>18151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29855</v>
          </cell>
        </row>
        <row r="28">
          <cell r="E28">
            <v>157032</v>
          </cell>
        </row>
        <row r="31">
          <cell r="E31">
            <v>1848</v>
          </cell>
        </row>
        <row r="35">
          <cell r="E35">
            <v>5944</v>
          </cell>
        </row>
        <row r="36">
          <cell r="E36">
            <v>194679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17562</v>
          </cell>
        </row>
        <row r="28">
          <cell r="E28">
            <v>55378</v>
          </cell>
        </row>
        <row r="31">
          <cell r="E31">
            <v>969</v>
          </cell>
        </row>
        <row r="35">
          <cell r="E35">
            <v>4480</v>
          </cell>
        </row>
        <row r="36">
          <cell r="E36">
            <v>78389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13272</v>
          </cell>
        </row>
        <row r="28">
          <cell r="E28">
            <v>68740</v>
          </cell>
        </row>
        <row r="31">
          <cell r="E31">
            <v>669</v>
          </cell>
        </row>
        <row r="35">
          <cell r="E35">
            <v>2902</v>
          </cell>
        </row>
        <row r="36">
          <cell r="E36">
            <v>85583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9111</v>
          </cell>
        </row>
        <row r="28">
          <cell r="E28">
            <v>45045</v>
          </cell>
        </row>
        <row r="31">
          <cell r="E31">
            <v>528</v>
          </cell>
        </row>
        <row r="35">
          <cell r="E35">
            <v>2642</v>
          </cell>
        </row>
        <row r="36">
          <cell r="E36">
            <v>57326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16182</v>
          </cell>
        </row>
        <row r="28">
          <cell r="E28">
            <v>82484</v>
          </cell>
        </row>
        <row r="31">
          <cell r="E31">
            <v>1855</v>
          </cell>
        </row>
        <row r="35">
          <cell r="E35">
            <v>6216</v>
          </cell>
        </row>
        <row r="36">
          <cell r="E36">
            <v>106737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27230</v>
          </cell>
        </row>
        <row r="28">
          <cell r="E28">
            <v>91346</v>
          </cell>
        </row>
        <row r="31">
          <cell r="E31">
            <v>2224</v>
          </cell>
        </row>
        <row r="35">
          <cell r="E35">
            <v>7526</v>
          </cell>
        </row>
        <row r="36">
          <cell r="E36">
            <v>128326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3265</v>
          </cell>
        </row>
        <row r="28">
          <cell r="E28">
            <v>16798</v>
          </cell>
        </row>
        <row r="31">
          <cell r="E31">
            <v>329</v>
          </cell>
        </row>
        <row r="35">
          <cell r="E35">
            <v>817</v>
          </cell>
        </row>
        <row r="36">
          <cell r="E36">
            <v>21209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13935</v>
          </cell>
        </row>
        <row r="28">
          <cell r="E28">
            <v>50159</v>
          </cell>
        </row>
        <row r="31">
          <cell r="E31">
            <v>595</v>
          </cell>
        </row>
        <row r="35">
          <cell r="E35">
            <v>4265</v>
          </cell>
        </row>
        <row r="36">
          <cell r="E36">
            <v>68954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13090</v>
          </cell>
        </row>
        <row r="28">
          <cell r="E28">
            <v>75168</v>
          </cell>
        </row>
        <row r="31">
          <cell r="E31">
            <v>709</v>
          </cell>
        </row>
        <row r="35">
          <cell r="E35">
            <v>2568</v>
          </cell>
        </row>
        <row r="36">
          <cell r="E36">
            <v>91535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25589</v>
          </cell>
        </row>
        <row r="28">
          <cell r="E28">
            <v>114724</v>
          </cell>
        </row>
        <row r="31">
          <cell r="E31">
            <v>1491</v>
          </cell>
        </row>
        <row r="35">
          <cell r="E35">
            <v>8169</v>
          </cell>
        </row>
        <row r="36">
          <cell r="E36">
            <v>149973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44891</v>
          </cell>
        </row>
        <row r="28">
          <cell r="E28">
            <v>56647</v>
          </cell>
        </row>
        <row r="31">
          <cell r="E31">
            <v>1998</v>
          </cell>
        </row>
        <row r="35">
          <cell r="E35">
            <v>7370</v>
          </cell>
        </row>
        <row r="36">
          <cell r="E36">
            <v>110906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4187</v>
          </cell>
        </row>
        <row r="28">
          <cell r="E28">
            <v>17998</v>
          </cell>
        </row>
        <row r="31">
          <cell r="E31">
            <v>353</v>
          </cell>
        </row>
        <row r="35">
          <cell r="E35">
            <v>1255</v>
          </cell>
        </row>
        <row r="36">
          <cell r="E36">
            <v>23793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11483</v>
          </cell>
        </row>
        <row r="28">
          <cell r="E28">
            <v>61297</v>
          </cell>
        </row>
        <row r="31">
          <cell r="E31">
            <v>831</v>
          </cell>
        </row>
        <row r="35">
          <cell r="E35">
            <v>2375</v>
          </cell>
        </row>
        <row r="36">
          <cell r="E36">
            <v>75986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4325</v>
          </cell>
        </row>
        <row r="28">
          <cell r="E28">
            <v>15975</v>
          </cell>
        </row>
        <row r="31">
          <cell r="E31">
            <v>253</v>
          </cell>
        </row>
        <row r="35">
          <cell r="E35">
            <v>831</v>
          </cell>
        </row>
        <row r="36">
          <cell r="E36">
            <v>21384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13775</v>
          </cell>
        </row>
        <row r="28">
          <cell r="E28">
            <v>53971</v>
          </cell>
        </row>
        <row r="31">
          <cell r="E31">
            <v>815</v>
          </cell>
        </row>
        <row r="35">
          <cell r="E35">
            <v>2815</v>
          </cell>
        </row>
        <row r="36">
          <cell r="E36">
            <v>71376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14393</v>
          </cell>
        </row>
        <row r="28">
          <cell r="E28">
            <v>44683</v>
          </cell>
        </row>
        <row r="31">
          <cell r="E31">
            <v>742</v>
          </cell>
        </row>
        <row r="35">
          <cell r="E35">
            <v>4703</v>
          </cell>
        </row>
        <row r="36">
          <cell r="E36">
            <v>64521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8823</v>
          </cell>
        </row>
        <row r="28">
          <cell r="E28">
            <v>36495</v>
          </cell>
        </row>
        <row r="31">
          <cell r="E31">
            <v>350</v>
          </cell>
        </row>
        <row r="35">
          <cell r="E35">
            <v>1076</v>
          </cell>
        </row>
        <row r="36">
          <cell r="E36">
            <v>46744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9273</v>
          </cell>
        </row>
        <row r="28">
          <cell r="E28">
            <v>23706</v>
          </cell>
        </row>
        <row r="31">
          <cell r="E31">
            <v>436</v>
          </cell>
        </row>
        <row r="35">
          <cell r="E35">
            <v>3067</v>
          </cell>
        </row>
        <row r="36">
          <cell r="E36">
            <v>36482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157540</v>
          </cell>
        </row>
        <row r="28">
          <cell r="E28">
            <v>854368</v>
          </cell>
        </row>
        <row r="31">
          <cell r="E31">
            <v>10881</v>
          </cell>
        </row>
        <row r="35">
          <cell r="E35">
            <v>49615</v>
          </cell>
        </row>
        <row r="36">
          <cell r="E36">
            <v>1072404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44968</v>
          </cell>
        </row>
        <row r="28">
          <cell r="E28">
            <v>313195</v>
          </cell>
        </row>
        <row r="31">
          <cell r="E31">
            <v>3485</v>
          </cell>
        </row>
        <row r="35">
          <cell r="E35">
            <v>14524</v>
          </cell>
        </row>
        <row r="36">
          <cell r="E36">
            <v>376172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31355</v>
          </cell>
        </row>
        <row r="28">
          <cell r="E28">
            <v>150272</v>
          </cell>
        </row>
        <row r="31">
          <cell r="E31">
            <v>5680</v>
          </cell>
        </row>
        <row r="35">
          <cell r="E35">
            <v>10379</v>
          </cell>
        </row>
        <row r="36">
          <cell r="E36">
            <v>197686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1">
          <cell r="E21">
            <v>4123</v>
          </cell>
        </row>
        <row r="40">
          <cell r="E40">
            <v>8881</v>
          </cell>
        </row>
        <row r="47">
          <cell r="E47">
            <v>511</v>
          </cell>
        </row>
        <row r="54">
          <cell r="E54">
            <v>776</v>
          </cell>
        </row>
        <row r="61">
          <cell r="E61">
            <v>14291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10681</v>
          </cell>
        </row>
        <row r="28">
          <cell r="E28">
            <v>47245</v>
          </cell>
        </row>
        <row r="31">
          <cell r="E31">
            <v>717</v>
          </cell>
        </row>
        <row r="35">
          <cell r="E35">
            <v>2617</v>
          </cell>
        </row>
        <row r="36">
          <cell r="E36">
            <v>61260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7599</v>
          </cell>
        </row>
        <row r="28">
          <cell r="E28">
            <v>26594</v>
          </cell>
        </row>
        <row r="31">
          <cell r="E31">
            <v>565</v>
          </cell>
        </row>
        <row r="35">
          <cell r="E35">
            <v>3071</v>
          </cell>
        </row>
        <row r="36">
          <cell r="E36">
            <v>37829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5102</v>
          </cell>
        </row>
        <row r="28">
          <cell r="E28">
            <v>14408</v>
          </cell>
        </row>
        <row r="31">
          <cell r="E31">
            <v>268</v>
          </cell>
        </row>
        <row r="35">
          <cell r="E35">
            <v>1345</v>
          </cell>
        </row>
        <row r="36">
          <cell r="E36">
            <v>21123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38146</v>
          </cell>
        </row>
        <row r="28">
          <cell r="E28">
            <v>133719</v>
          </cell>
        </row>
        <row r="31">
          <cell r="E31">
            <v>2004</v>
          </cell>
        </row>
        <row r="35">
          <cell r="E35">
            <v>11468</v>
          </cell>
        </row>
        <row r="36">
          <cell r="E36">
            <v>185337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27765</v>
          </cell>
        </row>
        <row r="28">
          <cell r="E28">
            <v>124076</v>
          </cell>
        </row>
        <row r="31">
          <cell r="E31">
            <v>1709</v>
          </cell>
        </row>
        <row r="35">
          <cell r="E35">
            <v>6767</v>
          </cell>
        </row>
        <row r="36">
          <cell r="E36">
            <v>160317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7128</v>
          </cell>
        </row>
        <row r="28">
          <cell r="E28">
            <v>22563</v>
          </cell>
        </row>
        <row r="31">
          <cell r="E31">
            <v>384</v>
          </cell>
        </row>
        <row r="35">
          <cell r="E35">
            <v>1954</v>
          </cell>
        </row>
        <row r="36">
          <cell r="E36">
            <v>32029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8711</v>
          </cell>
        </row>
        <row r="28">
          <cell r="E28">
            <v>27136</v>
          </cell>
        </row>
        <row r="31">
          <cell r="E31">
            <v>707</v>
          </cell>
        </row>
        <row r="35">
          <cell r="E35">
            <v>2179</v>
          </cell>
        </row>
        <row r="36">
          <cell r="E36">
            <v>38733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26784</v>
          </cell>
        </row>
        <row r="28">
          <cell r="E28">
            <v>130655</v>
          </cell>
        </row>
        <row r="31">
          <cell r="E31">
            <v>1489</v>
          </cell>
        </row>
        <row r="35">
          <cell r="E35">
            <v>4363</v>
          </cell>
        </row>
        <row r="36">
          <cell r="E36">
            <v>163291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3946</v>
          </cell>
        </row>
        <row r="28">
          <cell r="E28">
            <v>12002</v>
          </cell>
        </row>
        <row r="31">
          <cell r="E31">
            <v>245</v>
          </cell>
        </row>
        <row r="35">
          <cell r="E35">
            <v>629</v>
          </cell>
        </row>
        <row r="36">
          <cell r="E36">
            <v>16822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45408</v>
          </cell>
        </row>
        <row r="28">
          <cell r="E28">
            <v>325386</v>
          </cell>
        </row>
        <row r="31">
          <cell r="E31">
            <v>4668</v>
          </cell>
        </row>
        <row r="35">
          <cell r="E35">
            <v>11293</v>
          </cell>
        </row>
        <row r="36">
          <cell r="E36">
            <v>386755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1">
          <cell r="E21">
            <v>3875</v>
          </cell>
        </row>
        <row r="40">
          <cell r="E40">
            <v>7833</v>
          </cell>
        </row>
        <row r="47">
          <cell r="E47">
            <v>1096</v>
          </cell>
        </row>
        <row r="54">
          <cell r="E54">
            <v>741</v>
          </cell>
        </row>
        <row r="61">
          <cell r="E61">
            <v>13545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2756</v>
          </cell>
        </row>
        <row r="28">
          <cell r="E28">
            <v>6774</v>
          </cell>
        </row>
        <row r="31">
          <cell r="E31">
            <v>254</v>
          </cell>
        </row>
        <row r="35">
          <cell r="E35">
            <v>373</v>
          </cell>
        </row>
        <row r="36">
          <cell r="E36">
            <v>10157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18296</v>
          </cell>
        </row>
        <row r="28">
          <cell r="E28">
            <v>109925</v>
          </cell>
        </row>
        <row r="31">
          <cell r="E31">
            <v>604</v>
          </cell>
        </row>
        <row r="35">
          <cell r="E35">
            <v>2817</v>
          </cell>
        </row>
        <row r="36">
          <cell r="E36">
            <v>131642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1816</v>
          </cell>
        </row>
        <row r="28">
          <cell r="E28">
            <v>7354</v>
          </cell>
        </row>
        <row r="31">
          <cell r="E31">
            <v>187</v>
          </cell>
        </row>
        <row r="35">
          <cell r="E35">
            <v>488</v>
          </cell>
        </row>
        <row r="36">
          <cell r="E36">
            <v>9845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10939</v>
          </cell>
        </row>
        <row r="28">
          <cell r="E28">
            <v>43089</v>
          </cell>
        </row>
        <row r="31">
          <cell r="E31">
            <v>957</v>
          </cell>
        </row>
        <row r="35">
          <cell r="E35">
            <v>2942</v>
          </cell>
        </row>
        <row r="36">
          <cell r="E36">
            <v>57927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67003</v>
          </cell>
        </row>
        <row r="28">
          <cell r="E28">
            <v>360158</v>
          </cell>
        </row>
        <row r="31">
          <cell r="E31">
            <v>4510</v>
          </cell>
        </row>
        <row r="35">
          <cell r="E35">
            <v>18222</v>
          </cell>
        </row>
        <row r="36">
          <cell r="E36">
            <v>449893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14752</v>
          </cell>
        </row>
        <row r="28">
          <cell r="E28">
            <v>44100</v>
          </cell>
        </row>
        <row r="31">
          <cell r="E31">
            <v>925</v>
          </cell>
        </row>
        <row r="35">
          <cell r="E35">
            <v>3167</v>
          </cell>
        </row>
        <row r="36">
          <cell r="E36">
            <v>62944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4503</v>
          </cell>
        </row>
        <row r="28">
          <cell r="E28">
            <v>12562</v>
          </cell>
        </row>
        <row r="31">
          <cell r="E31">
            <v>267</v>
          </cell>
        </row>
        <row r="35">
          <cell r="E35">
            <v>1036</v>
          </cell>
        </row>
        <row r="36">
          <cell r="E36">
            <v>18368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22386</v>
          </cell>
        </row>
        <row r="28">
          <cell r="E28">
            <v>86079</v>
          </cell>
        </row>
        <row r="31">
          <cell r="E31">
            <v>2433</v>
          </cell>
        </row>
        <row r="35">
          <cell r="E35">
            <v>5750</v>
          </cell>
        </row>
        <row r="36">
          <cell r="E36">
            <v>116648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2134</v>
          </cell>
        </row>
        <row r="40">
          <cell r="E40">
            <v>16770</v>
          </cell>
        </row>
        <row r="47">
          <cell r="E47">
            <v>147</v>
          </cell>
        </row>
        <row r="54">
          <cell r="E54">
            <v>750</v>
          </cell>
        </row>
        <row r="61">
          <cell r="E61">
            <v>19801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2010</v>
          </cell>
        </row>
        <row r="40">
          <cell r="E40">
            <v>15830</v>
          </cell>
        </row>
        <row r="47">
          <cell r="E47">
            <v>140</v>
          </cell>
        </row>
        <row r="54">
          <cell r="E54">
            <v>824</v>
          </cell>
        </row>
        <row r="61">
          <cell r="E61">
            <v>18804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0">
          <cell r="E20">
            <v>2587127</v>
          </cell>
        </row>
        <row r="39">
          <cell r="E39">
            <v>3015318</v>
          </cell>
        </row>
        <row r="46">
          <cell r="E46">
            <v>224622</v>
          </cell>
        </row>
        <row r="53">
          <cell r="E53">
            <v>445837</v>
          </cell>
        </row>
        <row r="60">
          <cell r="E60">
            <v>6273090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1139630</v>
          </cell>
        </row>
        <row r="39">
          <cell r="E39">
            <v>5601161</v>
          </cell>
        </row>
        <row r="46">
          <cell r="E46">
            <v>203200</v>
          </cell>
        </row>
        <row r="53">
          <cell r="E53">
            <v>380273</v>
          </cell>
        </row>
        <row r="60">
          <cell r="E60">
            <v>7324795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7607</v>
          </cell>
        </row>
        <row r="28">
          <cell r="E28">
            <v>32861</v>
          </cell>
        </row>
        <row r="31">
          <cell r="E31">
            <v>871</v>
          </cell>
        </row>
        <row r="35">
          <cell r="E35">
            <v>2850</v>
          </cell>
        </row>
        <row r="36">
          <cell r="E36">
            <v>44189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39383</v>
          </cell>
        </row>
        <row r="28">
          <cell r="E28">
            <v>297855</v>
          </cell>
        </row>
        <row r="31">
          <cell r="E31">
            <v>1848</v>
          </cell>
        </row>
        <row r="35">
          <cell r="E35">
            <v>7544</v>
          </cell>
        </row>
        <row r="36">
          <cell r="E36">
            <v>346630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11456</v>
          </cell>
        </row>
        <row r="28">
          <cell r="E28">
            <v>86414</v>
          </cell>
        </row>
        <row r="31">
          <cell r="E31">
            <v>1084</v>
          </cell>
        </row>
        <row r="35">
          <cell r="E35">
            <v>3547</v>
          </cell>
        </row>
        <row r="36">
          <cell r="E36">
            <v>102501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7047</v>
          </cell>
        </row>
        <row r="28">
          <cell r="E28">
            <v>26584</v>
          </cell>
        </row>
        <row r="31">
          <cell r="E31">
            <v>801</v>
          </cell>
        </row>
        <row r="35">
          <cell r="E35">
            <v>2132</v>
          </cell>
        </row>
        <row r="36">
          <cell r="E36">
            <v>36564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29328</v>
          </cell>
        </row>
        <row r="28">
          <cell r="E28">
            <v>86097</v>
          </cell>
        </row>
        <row r="31">
          <cell r="E31">
            <v>1917</v>
          </cell>
        </row>
        <row r="35">
          <cell r="E35">
            <v>15290</v>
          </cell>
        </row>
        <row r="36">
          <cell r="E36">
            <v>132632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2893</v>
          </cell>
        </row>
        <row r="28">
          <cell r="E28">
            <v>12331</v>
          </cell>
        </row>
        <row r="31">
          <cell r="E31">
            <v>213</v>
          </cell>
        </row>
        <row r="35">
          <cell r="E35">
            <v>425</v>
          </cell>
        </row>
        <row r="36">
          <cell r="E36">
            <v>15862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12074</v>
          </cell>
        </row>
        <row r="28">
          <cell r="E28">
            <v>63312</v>
          </cell>
        </row>
        <row r="31">
          <cell r="E31">
            <v>861</v>
          </cell>
        </row>
        <row r="35">
          <cell r="E35">
            <v>2863</v>
          </cell>
        </row>
        <row r="36">
          <cell r="E36">
            <v>79110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28296</v>
          </cell>
        </row>
        <row r="28">
          <cell r="E28">
            <v>160676</v>
          </cell>
        </row>
        <row r="31">
          <cell r="E31">
            <v>1024</v>
          </cell>
        </row>
        <row r="35">
          <cell r="E35">
            <v>4590</v>
          </cell>
        </row>
        <row r="36">
          <cell r="E36">
            <v>194586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122102</v>
          </cell>
        </row>
        <row r="28">
          <cell r="E28">
            <v>613492</v>
          </cell>
        </row>
        <row r="31">
          <cell r="E31">
            <v>6419</v>
          </cell>
        </row>
        <row r="35">
          <cell r="E35">
            <v>40634</v>
          </cell>
        </row>
        <row r="36">
          <cell r="E36">
            <v>782647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16404</v>
          </cell>
        </row>
        <row r="28">
          <cell r="E28">
            <v>15012</v>
          </cell>
        </row>
        <row r="31">
          <cell r="E31">
            <v>737</v>
          </cell>
        </row>
        <row r="35">
          <cell r="E35">
            <v>2668</v>
          </cell>
        </row>
        <row r="36">
          <cell r="E36">
            <v>34821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25525</v>
          </cell>
        </row>
        <row r="28">
          <cell r="E28">
            <v>103946</v>
          </cell>
        </row>
        <row r="31">
          <cell r="E31">
            <v>1584</v>
          </cell>
        </row>
        <row r="35">
          <cell r="E35">
            <v>7924</v>
          </cell>
        </row>
        <row r="36">
          <cell r="E36">
            <v>138979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9095</v>
          </cell>
        </row>
        <row r="28">
          <cell r="E28">
            <v>34944</v>
          </cell>
        </row>
        <row r="31">
          <cell r="E31">
            <v>985</v>
          </cell>
        </row>
        <row r="35">
          <cell r="E35">
            <v>3183</v>
          </cell>
        </row>
        <row r="36">
          <cell r="E36">
            <v>48207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7295</v>
          </cell>
        </row>
        <row r="28">
          <cell r="E28">
            <v>29887</v>
          </cell>
        </row>
        <row r="31">
          <cell r="E31">
            <v>588</v>
          </cell>
        </row>
        <row r="35">
          <cell r="E35">
            <v>2849</v>
          </cell>
        </row>
        <row r="36">
          <cell r="E36">
            <v>40619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25339</v>
          </cell>
        </row>
        <row r="28">
          <cell r="E28">
            <v>154091</v>
          </cell>
        </row>
        <row r="31">
          <cell r="E31">
            <v>1935</v>
          </cell>
        </row>
        <row r="35">
          <cell r="E35">
            <v>6564</v>
          </cell>
        </row>
        <row r="36">
          <cell r="E36">
            <v>187929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16275</v>
          </cell>
        </row>
        <row r="28">
          <cell r="E28">
            <v>55844</v>
          </cell>
        </row>
        <row r="31">
          <cell r="E31">
            <v>1162</v>
          </cell>
        </row>
        <row r="35">
          <cell r="E35">
            <v>4740</v>
          </cell>
        </row>
        <row r="36">
          <cell r="E36">
            <v>78021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11303</v>
          </cell>
        </row>
        <row r="28">
          <cell r="E28">
            <v>68351</v>
          </cell>
        </row>
        <row r="31">
          <cell r="E31">
            <v>764</v>
          </cell>
        </row>
        <row r="35">
          <cell r="E35">
            <v>2663</v>
          </cell>
        </row>
        <row r="36">
          <cell r="E36">
            <v>83081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8519</v>
          </cell>
        </row>
        <row r="28">
          <cell r="E28">
            <v>44417</v>
          </cell>
        </row>
        <row r="31">
          <cell r="E31">
            <v>475</v>
          </cell>
        </row>
        <row r="35">
          <cell r="E35">
            <v>2698</v>
          </cell>
        </row>
        <row r="36">
          <cell r="E36">
            <v>56109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14764</v>
          </cell>
        </row>
        <row r="28">
          <cell r="E28">
            <v>87362</v>
          </cell>
        </row>
        <row r="31">
          <cell r="E31">
            <v>2124</v>
          </cell>
        </row>
        <row r="35">
          <cell r="E35">
            <v>4618</v>
          </cell>
        </row>
        <row r="36">
          <cell r="E36">
            <v>108868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25249</v>
          </cell>
        </row>
        <row r="28">
          <cell r="E28">
            <v>91407</v>
          </cell>
        </row>
        <row r="31">
          <cell r="E31">
            <v>2339</v>
          </cell>
        </row>
        <row r="35">
          <cell r="E35">
            <v>7269</v>
          </cell>
        </row>
        <row r="36">
          <cell r="E36">
            <v>126264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3002</v>
          </cell>
        </row>
        <row r="28">
          <cell r="E28">
            <v>16398</v>
          </cell>
        </row>
        <row r="31">
          <cell r="E31">
            <v>358</v>
          </cell>
        </row>
        <row r="35">
          <cell r="E35">
            <v>1106</v>
          </cell>
        </row>
        <row r="36">
          <cell r="E36">
            <v>20864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93060</v>
          </cell>
        </row>
        <row r="28">
          <cell r="E28">
            <v>100105</v>
          </cell>
        </row>
        <row r="31">
          <cell r="E31">
            <v>4175</v>
          </cell>
        </row>
        <row r="35">
          <cell r="E35">
            <v>11573</v>
          </cell>
        </row>
        <row r="36">
          <cell r="E36">
            <v>208913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13273</v>
          </cell>
        </row>
        <row r="28">
          <cell r="E28">
            <v>49116</v>
          </cell>
        </row>
        <row r="31">
          <cell r="E31">
            <v>805</v>
          </cell>
        </row>
        <row r="35">
          <cell r="E35">
            <v>4200</v>
          </cell>
        </row>
        <row r="36">
          <cell r="E36">
            <v>67394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13888</v>
          </cell>
        </row>
        <row r="28">
          <cell r="E28">
            <v>95216</v>
          </cell>
        </row>
        <row r="31">
          <cell r="E31">
            <v>871</v>
          </cell>
        </row>
        <row r="35">
          <cell r="E35">
            <v>2329</v>
          </cell>
        </row>
        <row r="36">
          <cell r="E36">
            <v>112304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21687</v>
          </cell>
        </row>
        <row r="28">
          <cell r="E28">
            <v>100972</v>
          </cell>
        </row>
        <row r="31">
          <cell r="E31">
            <v>1422</v>
          </cell>
        </row>
        <row r="35">
          <cell r="E35">
            <v>7524</v>
          </cell>
        </row>
        <row r="36">
          <cell r="E36">
            <v>131605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3435</v>
          </cell>
        </row>
        <row r="28">
          <cell r="E28">
            <v>17166</v>
          </cell>
        </row>
        <row r="31">
          <cell r="E31">
            <v>359</v>
          </cell>
        </row>
        <row r="35">
          <cell r="E35">
            <v>1309</v>
          </cell>
        </row>
        <row r="36">
          <cell r="E36">
            <v>22269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9661</v>
          </cell>
        </row>
        <row r="28">
          <cell r="E28">
            <v>60018</v>
          </cell>
        </row>
        <row r="31">
          <cell r="E31">
            <v>762</v>
          </cell>
        </row>
        <row r="35">
          <cell r="E35">
            <v>2277</v>
          </cell>
        </row>
        <row r="36">
          <cell r="E36">
            <v>72718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3722</v>
          </cell>
        </row>
        <row r="28">
          <cell r="E28">
            <v>15585</v>
          </cell>
        </row>
        <row r="31">
          <cell r="E31">
            <v>215</v>
          </cell>
        </row>
        <row r="35">
          <cell r="E35">
            <v>591</v>
          </cell>
        </row>
        <row r="36">
          <cell r="E36">
            <v>20113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12751</v>
          </cell>
        </row>
        <row r="28">
          <cell r="E28">
            <v>54390</v>
          </cell>
        </row>
        <row r="31">
          <cell r="E31">
            <v>898</v>
          </cell>
        </row>
        <row r="35">
          <cell r="E35">
            <v>2767</v>
          </cell>
        </row>
        <row r="36">
          <cell r="E36">
            <v>70806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12737</v>
          </cell>
        </row>
        <row r="28">
          <cell r="E28">
            <v>39318</v>
          </cell>
        </row>
        <row r="31">
          <cell r="E31">
            <v>1168</v>
          </cell>
        </row>
        <row r="35">
          <cell r="E35">
            <v>4779</v>
          </cell>
        </row>
        <row r="36">
          <cell r="E36">
            <v>58002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7322</v>
          </cell>
        </row>
        <row r="28">
          <cell r="E28">
            <v>36622</v>
          </cell>
        </row>
        <row r="31">
          <cell r="E31">
            <v>421</v>
          </cell>
        </row>
        <row r="35">
          <cell r="E35">
            <v>970</v>
          </cell>
        </row>
        <row r="36">
          <cell r="E36">
            <v>45335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8370</v>
          </cell>
        </row>
        <row r="28">
          <cell r="E28">
            <v>22937</v>
          </cell>
        </row>
        <row r="31">
          <cell r="E31">
            <v>576</v>
          </cell>
        </row>
        <row r="35">
          <cell r="E35">
            <v>2780</v>
          </cell>
        </row>
        <row r="36">
          <cell r="E36">
            <v>34663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32845</v>
          </cell>
        </row>
        <row r="28">
          <cell r="E28">
            <v>43178</v>
          </cell>
        </row>
        <row r="31">
          <cell r="E31">
            <v>1854</v>
          </cell>
        </row>
        <row r="35">
          <cell r="E35">
            <v>5669</v>
          </cell>
        </row>
        <row r="36">
          <cell r="E36">
            <v>83546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132636</v>
          </cell>
        </row>
        <row r="28">
          <cell r="E28">
            <v>802888</v>
          </cell>
        </row>
        <row r="31">
          <cell r="E31">
            <v>9249</v>
          </cell>
        </row>
        <row r="35">
          <cell r="E35">
            <v>43697</v>
          </cell>
        </row>
        <row r="36">
          <cell r="E36">
            <v>988470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39594</v>
          </cell>
        </row>
        <row r="28">
          <cell r="E28">
            <v>306823</v>
          </cell>
        </row>
        <row r="31">
          <cell r="E31">
            <v>3398</v>
          </cell>
        </row>
        <row r="35">
          <cell r="E35">
            <v>15096</v>
          </cell>
        </row>
        <row r="36">
          <cell r="E36">
            <v>364911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27797</v>
          </cell>
        </row>
        <row r="28">
          <cell r="E28">
            <v>144284</v>
          </cell>
        </row>
        <row r="31">
          <cell r="E31">
            <v>4791</v>
          </cell>
        </row>
        <row r="35">
          <cell r="E35">
            <v>9446</v>
          </cell>
        </row>
        <row r="36">
          <cell r="E36">
            <v>186318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9818</v>
          </cell>
        </row>
        <row r="28">
          <cell r="E28">
            <v>44919</v>
          </cell>
        </row>
        <row r="31">
          <cell r="E31">
            <v>1036</v>
          </cell>
        </row>
        <row r="35">
          <cell r="E35">
            <v>2298</v>
          </cell>
        </row>
        <row r="36">
          <cell r="E36">
            <v>58071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6848</v>
          </cell>
        </row>
        <row r="28">
          <cell r="E28">
            <v>25144</v>
          </cell>
        </row>
        <row r="31">
          <cell r="E31">
            <v>767</v>
          </cell>
        </row>
        <row r="35">
          <cell r="E35">
            <v>3084</v>
          </cell>
        </row>
        <row r="36">
          <cell r="E36">
            <v>35843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4349</v>
          </cell>
        </row>
        <row r="28">
          <cell r="E28">
            <v>14907</v>
          </cell>
        </row>
        <row r="31">
          <cell r="E31">
            <v>263</v>
          </cell>
        </row>
        <row r="35">
          <cell r="E35">
            <v>1671</v>
          </cell>
        </row>
        <row r="36">
          <cell r="E36">
            <v>21190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27536</v>
          </cell>
        </row>
        <row r="28">
          <cell r="E28">
            <v>135692</v>
          </cell>
        </row>
        <row r="31">
          <cell r="E31">
            <v>2044</v>
          </cell>
        </row>
        <row r="35">
          <cell r="E35">
            <v>10990</v>
          </cell>
        </row>
        <row r="36">
          <cell r="E36">
            <v>176262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24418</v>
          </cell>
        </row>
        <row r="28">
          <cell r="E28">
            <v>120866</v>
          </cell>
        </row>
        <row r="31">
          <cell r="E31">
            <v>1847</v>
          </cell>
        </row>
        <row r="35">
          <cell r="E35">
            <v>7064</v>
          </cell>
        </row>
        <row r="36">
          <cell r="E36">
            <v>154195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6199</v>
          </cell>
        </row>
        <row r="28">
          <cell r="E28">
            <v>22001</v>
          </cell>
        </row>
        <row r="31">
          <cell r="E31">
            <v>475</v>
          </cell>
        </row>
        <row r="35">
          <cell r="E35">
            <v>1799</v>
          </cell>
        </row>
        <row r="36">
          <cell r="E36">
            <v>30474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7793</v>
          </cell>
        </row>
        <row r="28">
          <cell r="E28">
            <v>28604</v>
          </cell>
        </row>
        <row r="31">
          <cell r="E31">
            <v>558</v>
          </cell>
        </row>
        <row r="35">
          <cell r="E35">
            <v>2905</v>
          </cell>
        </row>
        <row r="36">
          <cell r="E36">
            <v>39860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17765</v>
          </cell>
        </row>
        <row r="28">
          <cell r="E28">
            <v>18574</v>
          </cell>
        </row>
        <row r="31">
          <cell r="E31">
            <v>773</v>
          </cell>
        </row>
        <row r="35">
          <cell r="E35">
            <v>2754</v>
          </cell>
        </row>
        <row r="36">
          <cell r="E36">
            <v>39866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13136</v>
          </cell>
        </row>
        <row r="28">
          <cell r="E28">
            <v>10744</v>
          </cell>
        </row>
        <row r="31">
          <cell r="E31">
            <v>2264</v>
          </cell>
        </row>
        <row r="35">
          <cell r="E35">
            <v>3171</v>
          </cell>
        </row>
        <row r="36">
          <cell r="E36">
            <v>29315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23336</v>
          </cell>
        </row>
        <row r="28">
          <cell r="E28">
            <v>125185</v>
          </cell>
        </row>
        <row r="31">
          <cell r="E31">
            <v>1199</v>
          </cell>
        </row>
        <row r="35">
          <cell r="E35">
            <v>6400</v>
          </cell>
        </row>
        <row r="36">
          <cell r="E36">
            <v>156120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3389</v>
          </cell>
        </row>
        <row r="28">
          <cell r="E28">
            <v>11440</v>
          </cell>
        </row>
        <row r="31">
          <cell r="E31">
            <v>454</v>
          </cell>
        </row>
        <row r="35">
          <cell r="E35">
            <v>565</v>
          </cell>
        </row>
        <row r="36">
          <cell r="E36">
            <v>15848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40799</v>
          </cell>
        </row>
        <row r="28">
          <cell r="E28">
            <v>318815</v>
          </cell>
        </row>
        <row r="31">
          <cell r="E31">
            <v>4108</v>
          </cell>
        </row>
        <row r="35">
          <cell r="E35">
            <v>10136</v>
          </cell>
        </row>
        <row r="36">
          <cell r="E36">
            <v>373858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2216</v>
          </cell>
        </row>
        <row r="28">
          <cell r="E28">
            <v>7494</v>
          </cell>
        </row>
        <row r="31">
          <cell r="E31">
            <v>160</v>
          </cell>
        </row>
        <row r="35">
          <cell r="E35">
            <v>520</v>
          </cell>
        </row>
        <row r="36">
          <cell r="E36">
            <v>10390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16043</v>
          </cell>
        </row>
        <row r="28">
          <cell r="E28">
            <v>112780</v>
          </cell>
        </row>
        <row r="31">
          <cell r="E31">
            <v>538</v>
          </cell>
        </row>
        <row r="35">
          <cell r="E35">
            <v>2299</v>
          </cell>
        </row>
        <row r="36">
          <cell r="E36">
            <v>131660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1619</v>
          </cell>
        </row>
        <row r="28">
          <cell r="E28">
            <v>8476</v>
          </cell>
        </row>
        <row r="31">
          <cell r="E31">
            <v>122</v>
          </cell>
        </row>
        <row r="35">
          <cell r="E35">
            <v>587</v>
          </cell>
        </row>
        <row r="36">
          <cell r="E36">
            <v>10804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9133</v>
          </cell>
        </row>
        <row r="28">
          <cell r="E28">
            <v>40476</v>
          </cell>
        </row>
        <row r="31">
          <cell r="E31">
            <v>1081</v>
          </cell>
        </row>
        <row r="35">
          <cell r="E35">
            <v>2846</v>
          </cell>
        </row>
        <row r="36">
          <cell r="E36">
            <v>53536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60628</v>
          </cell>
        </row>
        <row r="28">
          <cell r="E28">
            <v>371257</v>
          </cell>
        </row>
        <row r="31">
          <cell r="E31">
            <v>4036</v>
          </cell>
        </row>
        <row r="35">
          <cell r="E35">
            <v>18402</v>
          </cell>
        </row>
        <row r="36">
          <cell r="E36">
            <v>454323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12881</v>
          </cell>
        </row>
        <row r="28">
          <cell r="E28">
            <v>43728</v>
          </cell>
        </row>
        <row r="31">
          <cell r="E31">
            <v>951</v>
          </cell>
        </row>
        <row r="35">
          <cell r="E35">
            <v>2809</v>
          </cell>
        </row>
        <row r="36">
          <cell r="E36">
            <v>60369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4263</v>
          </cell>
        </row>
        <row r="28">
          <cell r="E28">
            <v>12941</v>
          </cell>
        </row>
        <row r="31">
          <cell r="E31">
            <v>278</v>
          </cell>
        </row>
        <row r="35">
          <cell r="E35">
            <v>1536</v>
          </cell>
        </row>
        <row r="36">
          <cell r="E36">
            <v>19018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56040</v>
          </cell>
        </row>
        <row r="28">
          <cell r="E28">
            <v>44873</v>
          </cell>
        </row>
        <row r="31">
          <cell r="E31">
            <v>3549</v>
          </cell>
        </row>
        <row r="35">
          <cell r="E35">
            <v>9079</v>
          </cell>
        </row>
        <row r="36">
          <cell r="E36">
            <v>113541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20822</v>
          </cell>
        </row>
        <row r="28">
          <cell r="E28">
            <v>86417</v>
          </cell>
        </row>
        <row r="31">
          <cell r="E31">
            <v>1159</v>
          </cell>
        </row>
        <row r="35">
          <cell r="E35">
            <v>11938</v>
          </cell>
        </row>
        <row r="36">
          <cell r="E36">
            <v>120336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2189</v>
          </cell>
        </row>
        <row r="40">
          <cell r="E40">
            <v>17267</v>
          </cell>
        </row>
        <row r="47">
          <cell r="E47">
            <v>180</v>
          </cell>
        </row>
        <row r="54">
          <cell r="E54">
            <v>714</v>
          </cell>
        </row>
        <row r="61">
          <cell r="E61">
            <v>20350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1808</v>
          </cell>
        </row>
        <row r="40">
          <cell r="E40">
            <v>14090</v>
          </cell>
        </row>
        <row r="47">
          <cell r="E47">
            <v>176</v>
          </cell>
        </row>
        <row r="54">
          <cell r="E54">
            <v>1225</v>
          </cell>
        </row>
        <row r="61">
          <cell r="E61">
            <v>17299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1001723</v>
          </cell>
        </row>
        <row r="39">
          <cell r="E39">
            <v>5538670</v>
          </cell>
        </row>
        <row r="46">
          <cell r="E46">
            <v>194855</v>
          </cell>
        </row>
        <row r="53">
          <cell r="E53">
            <v>374204</v>
          </cell>
        </row>
        <row r="60">
          <cell r="E60">
            <v>7109939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6468</v>
          </cell>
        </row>
        <row r="28">
          <cell r="E28">
            <v>29240</v>
          </cell>
        </row>
        <row r="31">
          <cell r="E31">
            <v>906</v>
          </cell>
        </row>
        <row r="35">
          <cell r="E35">
            <v>1868</v>
          </cell>
        </row>
        <row r="36">
          <cell r="E36">
            <v>38482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29927</v>
          </cell>
        </row>
        <row r="28">
          <cell r="E28">
            <v>280258</v>
          </cell>
        </row>
        <row r="31">
          <cell r="E31">
            <v>1635</v>
          </cell>
        </row>
        <row r="35">
          <cell r="E35">
            <v>7182</v>
          </cell>
        </row>
        <row r="36">
          <cell r="E36">
            <v>319002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9709</v>
          </cell>
        </row>
        <row r="28">
          <cell r="E28">
            <v>82625</v>
          </cell>
        </row>
        <row r="31">
          <cell r="E31">
            <v>1446</v>
          </cell>
        </row>
        <row r="35">
          <cell r="E35">
            <v>3133</v>
          </cell>
        </row>
        <row r="36">
          <cell r="E36">
            <v>96913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2409</v>
          </cell>
        </row>
        <row r="28">
          <cell r="E28">
            <v>24211</v>
          </cell>
        </row>
        <row r="31">
          <cell r="E31">
            <v>894</v>
          </cell>
        </row>
        <row r="35">
          <cell r="E35">
            <v>1779</v>
          </cell>
        </row>
        <row r="36">
          <cell r="E36">
            <v>29293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26894</v>
          </cell>
        </row>
        <row r="28">
          <cell r="E28">
            <v>80835</v>
          </cell>
        </row>
        <row r="31">
          <cell r="E31">
            <v>2164</v>
          </cell>
        </row>
        <row r="35">
          <cell r="E35">
            <v>11075</v>
          </cell>
        </row>
        <row r="36">
          <cell r="E36">
            <v>120968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2690</v>
          </cell>
        </row>
        <row r="28">
          <cell r="E28">
            <v>11269</v>
          </cell>
        </row>
        <row r="31">
          <cell r="E31">
            <v>279</v>
          </cell>
        </row>
        <row r="35">
          <cell r="E35">
            <v>354</v>
          </cell>
        </row>
        <row r="36">
          <cell r="E36">
            <v>14592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5478</v>
          </cell>
        </row>
        <row r="28">
          <cell r="E28">
            <v>6213</v>
          </cell>
        </row>
        <row r="31">
          <cell r="E31">
            <v>250</v>
          </cell>
        </row>
        <row r="35">
          <cell r="E35">
            <v>610</v>
          </cell>
        </row>
        <row r="36">
          <cell r="E36">
            <v>12551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14805</v>
          </cell>
        </row>
        <row r="28">
          <cell r="E28">
            <v>82705</v>
          </cell>
        </row>
        <row r="31">
          <cell r="E31">
            <v>1418</v>
          </cell>
        </row>
        <row r="35">
          <cell r="E35">
            <v>3429</v>
          </cell>
        </row>
        <row r="36">
          <cell r="E36">
            <v>102357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12142</v>
          </cell>
        </row>
        <row r="28">
          <cell r="E28">
            <v>151029</v>
          </cell>
        </row>
        <row r="31">
          <cell r="E31">
            <v>914</v>
          </cell>
        </row>
        <row r="35">
          <cell r="E35">
            <v>4249</v>
          </cell>
        </row>
        <row r="36">
          <cell r="E36">
            <v>168334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73050</v>
          </cell>
        </row>
        <row r="28">
          <cell r="E28">
            <v>587187</v>
          </cell>
        </row>
        <row r="31">
          <cell r="E31">
            <v>7457</v>
          </cell>
        </row>
        <row r="35">
          <cell r="E35">
            <v>35923</v>
          </cell>
        </row>
        <row r="36">
          <cell r="E36">
            <v>703617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13823</v>
          </cell>
        </row>
        <row r="28">
          <cell r="E28">
            <v>100754</v>
          </cell>
        </row>
        <row r="31">
          <cell r="E31">
            <v>1638</v>
          </cell>
        </row>
        <row r="35">
          <cell r="E35">
            <v>7008</v>
          </cell>
        </row>
        <row r="36">
          <cell r="E36">
            <v>123223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12546</v>
          </cell>
        </row>
        <row r="28">
          <cell r="E28">
            <v>50632</v>
          </cell>
        </row>
        <row r="31">
          <cell r="E31">
            <v>619</v>
          </cell>
        </row>
        <row r="35">
          <cell r="E35">
            <v>2559</v>
          </cell>
        </row>
        <row r="36">
          <cell r="E36">
            <v>66356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6558</v>
          </cell>
        </row>
        <row r="28">
          <cell r="E28">
            <v>27765</v>
          </cell>
        </row>
        <row r="31">
          <cell r="E31">
            <v>672</v>
          </cell>
        </row>
        <row r="35">
          <cell r="E35">
            <v>1988</v>
          </cell>
        </row>
        <row r="36">
          <cell r="E36">
            <v>36983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22000</v>
          </cell>
        </row>
        <row r="28">
          <cell r="E28">
            <v>151456</v>
          </cell>
        </row>
        <row r="31">
          <cell r="E31">
            <v>2673</v>
          </cell>
        </row>
        <row r="35">
          <cell r="E35">
            <v>6085</v>
          </cell>
        </row>
        <row r="36">
          <cell r="E36">
            <v>182214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14394</v>
          </cell>
        </row>
        <row r="28">
          <cell r="E28">
            <v>52467</v>
          </cell>
        </row>
        <row r="31">
          <cell r="E31">
            <v>1151</v>
          </cell>
        </row>
        <row r="35">
          <cell r="E35">
            <v>4141</v>
          </cell>
        </row>
        <row r="36">
          <cell r="E36">
            <v>72153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9668</v>
          </cell>
        </row>
        <row r="28">
          <cell r="E28">
            <v>66383</v>
          </cell>
        </row>
        <row r="31">
          <cell r="E31">
            <v>708</v>
          </cell>
        </row>
        <row r="35">
          <cell r="E35">
            <v>2423</v>
          </cell>
        </row>
        <row r="36">
          <cell r="E36">
            <v>79182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7973</v>
          </cell>
        </row>
        <row r="28">
          <cell r="E28">
            <v>42799</v>
          </cell>
        </row>
        <row r="31">
          <cell r="E31">
            <v>617</v>
          </cell>
        </row>
        <row r="35">
          <cell r="E35">
            <v>2257</v>
          </cell>
        </row>
        <row r="36">
          <cell r="E36">
            <v>53646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26895</v>
          </cell>
        </row>
        <row r="28">
          <cell r="E28">
            <v>29382</v>
          </cell>
        </row>
        <row r="31">
          <cell r="E31">
            <v>887</v>
          </cell>
        </row>
        <row r="35">
          <cell r="E35">
            <v>3765</v>
          </cell>
        </row>
        <row r="36">
          <cell r="E36">
            <v>60929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9240</v>
          </cell>
        </row>
        <row r="28">
          <cell r="E28">
            <v>83296</v>
          </cell>
        </row>
        <row r="31">
          <cell r="E31">
            <v>2224</v>
          </cell>
        </row>
        <row r="35">
          <cell r="E35">
            <v>4239</v>
          </cell>
        </row>
        <row r="36">
          <cell r="E36">
            <v>98999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16663</v>
          </cell>
        </row>
        <row r="28">
          <cell r="E28">
            <v>91102</v>
          </cell>
        </row>
        <row r="31">
          <cell r="E31">
            <v>2177</v>
          </cell>
        </row>
        <row r="35">
          <cell r="E35">
            <v>7018</v>
          </cell>
        </row>
        <row r="36">
          <cell r="E36">
            <v>116960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2770</v>
          </cell>
        </row>
        <row r="28">
          <cell r="E28">
            <v>15573</v>
          </cell>
        </row>
        <row r="31">
          <cell r="E31">
            <v>318</v>
          </cell>
        </row>
        <row r="35">
          <cell r="E35">
            <v>750</v>
          </cell>
        </row>
        <row r="36">
          <cell r="E36">
            <v>19411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7260</v>
          </cell>
        </row>
        <row r="28">
          <cell r="E28">
            <v>49855</v>
          </cell>
        </row>
        <row r="31">
          <cell r="E31">
            <v>675</v>
          </cell>
        </row>
        <row r="35">
          <cell r="E35">
            <v>3608</v>
          </cell>
        </row>
        <row r="36">
          <cell r="E36">
            <v>61398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11534</v>
          </cell>
        </row>
        <row r="28">
          <cell r="E28">
            <v>96194</v>
          </cell>
        </row>
        <row r="31">
          <cell r="E31">
            <v>798</v>
          </cell>
        </row>
        <row r="35">
          <cell r="E35">
            <v>2292</v>
          </cell>
        </row>
        <row r="36">
          <cell r="E36">
            <v>110818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9720</v>
          </cell>
        </row>
        <row r="28">
          <cell r="E28">
            <v>105810</v>
          </cell>
        </row>
        <row r="31">
          <cell r="E31">
            <v>1608</v>
          </cell>
        </row>
        <row r="35">
          <cell r="E35">
            <v>7179</v>
          </cell>
        </row>
        <row r="36">
          <cell r="E36">
            <v>124317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3111</v>
          </cell>
        </row>
        <row r="28">
          <cell r="E28">
            <v>16987</v>
          </cell>
        </row>
        <row r="31">
          <cell r="E31">
            <v>305</v>
          </cell>
        </row>
        <row r="35">
          <cell r="E35">
            <v>1034</v>
          </cell>
        </row>
        <row r="36">
          <cell r="E36">
            <v>21437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8659</v>
          </cell>
        </row>
        <row r="28">
          <cell r="E28">
            <v>58243</v>
          </cell>
        </row>
        <row r="31">
          <cell r="E31">
            <v>1148</v>
          </cell>
        </row>
        <row r="35">
          <cell r="E35">
            <v>2109</v>
          </cell>
        </row>
        <row r="36">
          <cell r="E36">
            <v>70159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3614</v>
          </cell>
        </row>
        <row r="28">
          <cell r="E28">
            <v>15301</v>
          </cell>
        </row>
        <row r="31">
          <cell r="E31">
            <v>221</v>
          </cell>
        </row>
        <row r="35">
          <cell r="E35">
            <v>499</v>
          </cell>
        </row>
        <row r="36">
          <cell r="E36">
            <v>19635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11535</v>
          </cell>
        </row>
        <row r="28">
          <cell r="E28">
            <v>52594</v>
          </cell>
        </row>
        <row r="31">
          <cell r="E31">
            <v>1034</v>
          </cell>
        </row>
        <row r="35">
          <cell r="E35">
            <v>2561</v>
          </cell>
        </row>
        <row r="36">
          <cell r="E36">
            <v>67724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59758</v>
          </cell>
        </row>
        <row r="28">
          <cell r="E28">
            <v>63209</v>
          </cell>
        </row>
        <row r="31">
          <cell r="E31">
            <v>2067</v>
          </cell>
        </row>
        <row r="35">
          <cell r="E35">
            <v>6891</v>
          </cell>
        </row>
        <row r="36">
          <cell r="E36">
            <v>131925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10740</v>
          </cell>
        </row>
        <row r="28">
          <cell r="E28">
            <v>32603</v>
          </cell>
        </row>
        <row r="31">
          <cell r="E31">
            <v>783</v>
          </cell>
        </row>
        <row r="35">
          <cell r="E35">
            <v>3874</v>
          </cell>
        </row>
        <row r="36">
          <cell r="E36">
            <v>48000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6425</v>
          </cell>
        </row>
        <row r="28">
          <cell r="E28">
            <v>34192</v>
          </cell>
        </row>
        <row r="31">
          <cell r="E31">
            <v>467</v>
          </cell>
        </row>
        <row r="35">
          <cell r="E35">
            <v>963</v>
          </cell>
        </row>
        <row r="36">
          <cell r="E36">
            <v>42047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6870</v>
          </cell>
        </row>
        <row r="28">
          <cell r="E28">
            <v>21359</v>
          </cell>
        </row>
        <row r="31">
          <cell r="E31">
            <v>540</v>
          </cell>
        </row>
        <row r="35">
          <cell r="E35">
            <v>2526</v>
          </cell>
        </row>
        <row r="36">
          <cell r="E36">
            <v>31295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64462</v>
          </cell>
        </row>
        <row r="28">
          <cell r="E28">
            <v>760339</v>
          </cell>
        </row>
        <row r="31">
          <cell r="E31">
            <v>9123</v>
          </cell>
        </row>
        <row r="35">
          <cell r="E35">
            <v>35248</v>
          </cell>
        </row>
        <row r="36">
          <cell r="E36">
            <v>869172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22591</v>
          </cell>
        </row>
        <row r="28">
          <cell r="E28">
            <v>306717</v>
          </cell>
        </row>
        <row r="31">
          <cell r="E31">
            <v>2723</v>
          </cell>
        </row>
        <row r="35">
          <cell r="E35">
            <v>11911</v>
          </cell>
        </row>
        <row r="36">
          <cell r="E36">
            <v>343942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15067</v>
          </cell>
        </row>
        <row r="28">
          <cell r="E28">
            <v>130894</v>
          </cell>
        </row>
        <row r="31">
          <cell r="E31">
            <v>4070</v>
          </cell>
        </row>
        <row r="35">
          <cell r="E35">
            <v>8858</v>
          </cell>
        </row>
        <row r="36">
          <cell r="E36">
            <v>158889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5644</v>
          </cell>
        </row>
        <row r="28">
          <cell r="E28">
            <v>42380</v>
          </cell>
        </row>
        <row r="31">
          <cell r="E31">
            <v>1125</v>
          </cell>
        </row>
        <row r="35">
          <cell r="E35">
            <v>2247</v>
          </cell>
        </row>
        <row r="36">
          <cell r="E36">
            <v>51396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6391</v>
          </cell>
        </row>
        <row r="28">
          <cell r="E28">
            <v>24442</v>
          </cell>
        </row>
        <row r="31">
          <cell r="E31">
            <v>720</v>
          </cell>
        </row>
        <row r="35">
          <cell r="E35">
            <v>3028</v>
          </cell>
        </row>
        <row r="36">
          <cell r="E36">
            <v>34581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3861</v>
          </cell>
        </row>
        <row r="28">
          <cell r="E28">
            <v>15795</v>
          </cell>
        </row>
        <row r="31">
          <cell r="E31">
            <v>199</v>
          </cell>
        </row>
        <row r="35">
          <cell r="E35">
            <v>1128</v>
          </cell>
        </row>
        <row r="36">
          <cell r="E36">
            <v>20983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16535</v>
          </cell>
        </row>
        <row r="28">
          <cell r="E28">
            <v>132411</v>
          </cell>
        </row>
        <row r="31">
          <cell r="E31">
            <v>2369</v>
          </cell>
        </row>
        <row r="35">
          <cell r="E35">
            <v>8723</v>
          </cell>
        </row>
        <row r="36">
          <cell r="E36">
            <v>160038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253479</v>
          </cell>
        </row>
        <row r="28">
          <cell r="E28">
            <v>301604</v>
          </cell>
        </row>
        <row r="31">
          <cell r="E31">
            <v>7289</v>
          </cell>
        </row>
        <row r="35">
          <cell r="E35">
            <v>42741</v>
          </cell>
        </row>
        <row r="36">
          <cell r="E36">
            <v>605113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14689</v>
          </cell>
        </row>
        <row r="28">
          <cell r="E28">
            <v>121318</v>
          </cell>
        </row>
        <row r="31">
          <cell r="E31">
            <v>1409</v>
          </cell>
        </row>
        <row r="35">
          <cell r="E35">
            <v>6685</v>
          </cell>
        </row>
        <row r="36">
          <cell r="E36">
            <v>144101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5577</v>
          </cell>
        </row>
        <row r="28">
          <cell r="E28">
            <v>20964</v>
          </cell>
        </row>
        <row r="31">
          <cell r="E31">
            <v>509</v>
          </cell>
        </row>
        <row r="35">
          <cell r="E35">
            <v>1411</v>
          </cell>
        </row>
        <row r="36">
          <cell r="E36">
            <v>28461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7344</v>
          </cell>
        </row>
        <row r="28">
          <cell r="E28">
            <v>28031</v>
          </cell>
        </row>
        <row r="31">
          <cell r="E31">
            <v>553</v>
          </cell>
        </row>
        <row r="35">
          <cell r="E35">
            <v>1519</v>
          </cell>
        </row>
        <row r="36">
          <cell r="E36">
            <v>37447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22150</v>
          </cell>
        </row>
        <row r="28">
          <cell r="E28">
            <v>125397</v>
          </cell>
        </row>
        <row r="31">
          <cell r="E31">
            <v>1352</v>
          </cell>
        </row>
        <row r="35">
          <cell r="E35">
            <v>5181</v>
          </cell>
        </row>
        <row r="36">
          <cell r="E36">
            <v>154080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2943</v>
          </cell>
        </row>
        <row r="28">
          <cell r="E28">
            <v>10691</v>
          </cell>
        </row>
        <row r="31">
          <cell r="E31">
            <v>407</v>
          </cell>
        </row>
        <row r="35">
          <cell r="E35">
            <v>734</v>
          </cell>
        </row>
        <row r="36">
          <cell r="E36">
            <v>14775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16842</v>
          </cell>
        </row>
        <row r="28">
          <cell r="E28">
            <v>302171</v>
          </cell>
        </row>
        <row r="31">
          <cell r="E31">
            <v>5244</v>
          </cell>
        </row>
        <row r="35">
          <cell r="E35">
            <v>9118</v>
          </cell>
        </row>
        <row r="36">
          <cell r="E36">
            <v>333375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1847</v>
          </cell>
        </row>
        <row r="28">
          <cell r="E28">
            <v>7617</v>
          </cell>
        </row>
        <row r="31">
          <cell r="E31">
            <v>164</v>
          </cell>
        </row>
        <row r="35">
          <cell r="E35">
            <v>287</v>
          </cell>
        </row>
        <row r="36">
          <cell r="E36">
            <v>9915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16428</v>
          </cell>
        </row>
        <row r="28">
          <cell r="E28">
            <v>143950</v>
          </cell>
        </row>
        <row r="31">
          <cell r="E31">
            <v>703</v>
          </cell>
        </row>
        <row r="35">
          <cell r="E35">
            <v>2078</v>
          </cell>
        </row>
        <row r="36">
          <cell r="E36">
            <v>163159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1505</v>
          </cell>
        </row>
        <row r="28">
          <cell r="E28">
            <v>8330</v>
          </cell>
        </row>
        <row r="31">
          <cell r="E31">
            <v>158</v>
          </cell>
        </row>
        <row r="35">
          <cell r="E35">
            <v>422</v>
          </cell>
        </row>
        <row r="36">
          <cell r="E36">
            <v>10415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8815</v>
          </cell>
        </row>
        <row r="28">
          <cell r="E28">
            <v>38071</v>
          </cell>
        </row>
        <row r="31">
          <cell r="E31">
            <v>1106</v>
          </cell>
        </row>
        <row r="35">
          <cell r="E35">
            <v>2045</v>
          </cell>
        </row>
        <row r="36">
          <cell r="E36">
            <v>50037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44924</v>
          </cell>
        </row>
        <row r="28">
          <cell r="E28">
            <v>39609</v>
          </cell>
        </row>
        <row r="31">
          <cell r="E31">
            <v>1514</v>
          </cell>
        </row>
        <row r="35">
          <cell r="E35">
            <v>12322</v>
          </cell>
        </row>
        <row r="36">
          <cell r="E36">
            <v>98369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34367</v>
          </cell>
        </row>
        <row r="28">
          <cell r="E28">
            <v>351476</v>
          </cell>
        </row>
        <row r="31">
          <cell r="E31">
            <v>4227</v>
          </cell>
        </row>
        <row r="35">
          <cell r="E35">
            <v>16710</v>
          </cell>
        </row>
        <row r="36">
          <cell r="E36">
            <v>406780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3941</v>
          </cell>
        </row>
        <row r="28">
          <cell r="E28">
            <v>42581</v>
          </cell>
        </row>
        <row r="31">
          <cell r="E31">
            <v>1034</v>
          </cell>
        </row>
        <row r="35">
          <cell r="E35">
            <v>2795</v>
          </cell>
        </row>
        <row r="36">
          <cell r="E36">
            <v>50351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3640</v>
          </cell>
        </row>
        <row r="28">
          <cell r="E28">
            <v>13381</v>
          </cell>
        </row>
        <row r="31">
          <cell r="E31">
            <v>325</v>
          </cell>
        </row>
        <row r="35">
          <cell r="E35">
            <v>745</v>
          </cell>
        </row>
        <row r="36">
          <cell r="E36">
            <v>18091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6263</v>
          </cell>
        </row>
        <row r="28">
          <cell r="E28">
            <v>86270</v>
          </cell>
        </row>
        <row r="31">
          <cell r="E31">
            <v>1076</v>
          </cell>
        </row>
        <row r="35">
          <cell r="E35">
            <v>5017</v>
          </cell>
        </row>
        <row r="36">
          <cell r="E36">
            <v>98626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2137</v>
          </cell>
        </row>
        <row r="40">
          <cell r="E40">
            <v>15820</v>
          </cell>
        </row>
        <row r="47">
          <cell r="E47">
            <v>269</v>
          </cell>
        </row>
        <row r="54">
          <cell r="E54">
            <v>756</v>
          </cell>
        </row>
        <row r="61">
          <cell r="E61">
            <v>18982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1734</v>
          </cell>
        </row>
        <row r="40">
          <cell r="E40">
            <v>14311</v>
          </cell>
        </row>
        <row r="47">
          <cell r="E47">
            <v>560</v>
          </cell>
        </row>
        <row r="54">
          <cell r="E54">
            <v>540</v>
          </cell>
        </row>
        <row r="61">
          <cell r="E61">
            <v>17145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892965</v>
          </cell>
        </row>
        <row r="39">
          <cell r="E39">
            <v>5398175</v>
          </cell>
        </row>
        <row r="46">
          <cell r="E46">
            <v>187710</v>
          </cell>
        </row>
        <row r="53">
          <cell r="E53">
            <v>323390</v>
          </cell>
        </row>
        <row r="60">
          <cell r="E60">
            <v>6802623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15186</v>
          </cell>
        </row>
        <row r="28">
          <cell r="E28">
            <v>15321</v>
          </cell>
        </row>
        <row r="31">
          <cell r="E31">
            <v>698</v>
          </cell>
        </row>
        <row r="35">
          <cell r="E35">
            <v>2848</v>
          </cell>
        </row>
        <row r="36">
          <cell r="E36">
            <v>34053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12211</v>
          </cell>
        </row>
        <row r="28">
          <cell r="E28">
            <v>15514</v>
          </cell>
        </row>
        <row r="31">
          <cell r="E31">
            <v>338</v>
          </cell>
        </row>
        <row r="35">
          <cell r="E35">
            <v>1559</v>
          </cell>
        </row>
        <row r="36">
          <cell r="E36">
            <v>29622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59385</v>
          </cell>
        </row>
        <row r="28">
          <cell r="E28">
            <v>77773</v>
          </cell>
        </row>
        <row r="31">
          <cell r="E31">
            <v>5864</v>
          </cell>
        </row>
        <row r="35">
          <cell r="E35">
            <v>8823</v>
          </cell>
        </row>
        <row r="36">
          <cell r="E36">
            <v>151845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17060</v>
          </cell>
        </row>
        <row r="28">
          <cell r="E28">
            <v>19664</v>
          </cell>
        </row>
        <row r="31">
          <cell r="E31">
            <v>363</v>
          </cell>
        </row>
        <row r="35">
          <cell r="E35">
            <v>1872</v>
          </cell>
        </row>
        <row r="36">
          <cell r="E36">
            <v>38959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34081</v>
          </cell>
        </row>
        <row r="28">
          <cell r="E28">
            <v>26018</v>
          </cell>
        </row>
        <row r="31">
          <cell r="E31">
            <v>1073</v>
          </cell>
        </row>
        <row r="35">
          <cell r="E35">
            <v>4721</v>
          </cell>
        </row>
        <row r="36">
          <cell r="E36">
            <v>65893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27559</v>
          </cell>
        </row>
        <row r="28">
          <cell r="E28">
            <v>27662</v>
          </cell>
        </row>
        <row r="31">
          <cell r="E31">
            <v>1201</v>
          </cell>
        </row>
        <row r="35">
          <cell r="E35">
            <v>3583</v>
          </cell>
        </row>
        <row r="36">
          <cell r="E36">
            <v>60005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19205</v>
          </cell>
        </row>
        <row r="28">
          <cell r="E28">
            <v>22093</v>
          </cell>
        </row>
        <row r="31">
          <cell r="E31">
            <v>801</v>
          </cell>
        </row>
        <row r="35">
          <cell r="E35">
            <v>2830</v>
          </cell>
        </row>
        <row r="36">
          <cell r="E36">
            <v>44929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29789</v>
          </cell>
        </row>
        <row r="28">
          <cell r="E28">
            <v>50416</v>
          </cell>
        </row>
        <row r="31">
          <cell r="E31">
            <v>1334</v>
          </cell>
        </row>
        <row r="35">
          <cell r="E35">
            <v>4304</v>
          </cell>
        </row>
        <row r="36">
          <cell r="E36">
            <v>85843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52130</v>
          </cell>
        </row>
        <row r="28">
          <cell r="E28">
            <v>42641</v>
          </cell>
        </row>
        <row r="31">
          <cell r="E31">
            <v>2287</v>
          </cell>
        </row>
        <row r="35">
          <cell r="E35">
            <v>9670</v>
          </cell>
        </row>
        <row r="36">
          <cell r="E36">
            <v>106728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6216</v>
          </cell>
        </row>
        <row r="28">
          <cell r="E28">
            <v>8910</v>
          </cell>
        </row>
        <row r="31">
          <cell r="E31">
            <v>532</v>
          </cell>
        </row>
        <row r="35">
          <cell r="E35">
            <v>1179</v>
          </cell>
        </row>
        <row r="36">
          <cell r="E36">
            <v>16837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20444</v>
          </cell>
        </row>
        <row r="28">
          <cell r="E28">
            <v>26492</v>
          </cell>
        </row>
        <row r="31">
          <cell r="E31">
            <v>1524</v>
          </cell>
        </row>
        <row r="35">
          <cell r="E35">
            <v>3906</v>
          </cell>
        </row>
        <row r="36">
          <cell r="E36">
            <v>52366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33019</v>
          </cell>
        </row>
        <row r="28">
          <cell r="E28">
            <v>43680</v>
          </cell>
        </row>
        <row r="31">
          <cell r="E31">
            <v>963</v>
          </cell>
        </row>
        <row r="35">
          <cell r="E35">
            <v>3611</v>
          </cell>
        </row>
        <row r="36">
          <cell r="E36">
            <v>81273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41299</v>
          </cell>
        </row>
        <row r="28">
          <cell r="E28">
            <v>60673</v>
          </cell>
        </row>
        <row r="31">
          <cell r="E31">
            <v>4193</v>
          </cell>
        </row>
        <row r="35">
          <cell r="E35">
            <v>7704</v>
          </cell>
        </row>
        <row r="36">
          <cell r="E36">
            <v>113869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11451</v>
          </cell>
        </row>
        <row r="28">
          <cell r="E28">
            <v>10944</v>
          </cell>
        </row>
        <row r="31">
          <cell r="E31">
            <v>487</v>
          </cell>
        </row>
        <row r="35">
          <cell r="E35">
            <v>1725</v>
          </cell>
        </row>
        <row r="36">
          <cell r="E36">
            <v>24607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72611</v>
          </cell>
        </row>
        <row r="28">
          <cell r="E28">
            <v>88533</v>
          </cell>
        </row>
        <row r="31">
          <cell r="E31">
            <v>5532</v>
          </cell>
        </row>
        <row r="35">
          <cell r="E35">
            <v>9244</v>
          </cell>
        </row>
        <row r="36">
          <cell r="E36">
            <v>175920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23766</v>
          </cell>
        </row>
        <row r="28">
          <cell r="E28">
            <v>29594</v>
          </cell>
        </row>
        <row r="31">
          <cell r="E31">
            <v>1073</v>
          </cell>
        </row>
        <row r="35">
          <cell r="E35">
            <v>3516</v>
          </cell>
        </row>
        <row r="36">
          <cell r="E36">
            <v>57949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8057</v>
          </cell>
        </row>
        <row r="28">
          <cell r="E28">
            <v>9753</v>
          </cell>
        </row>
        <row r="31">
          <cell r="E31">
            <v>315</v>
          </cell>
        </row>
        <row r="35">
          <cell r="E35">
            <v>961</v>
          </cell>
        </row>
        <row r="36">
          <cell r="E36">
            <v>19086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24608</v>
          </cell>
        </row>
        <row r="28">
          <cell r="E28">
            <v>32513</v>
          </cell>
        </row>
        <row r="31">
          <cell r="E31">
            <v>1236</v>
          </cell>
        </row>
        <row r="35">
          <cell r="E35">
            <v>3052</v>
          </cell>
        </row>
        <row r="36">
          <cell r="E36">
            <v>61409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22026</v>
          </cell>
        </row>
        <row r="28">
          <cell r="E28">
            <v>19344</v>
          </cell>
        </row>
        <row r="31">
          <cell r="E31">
            <v>714</v>
          </cell>
        </row>
        <row r="35">
          <cell r="E35">
            <v>3844</v>
          </cell>
        </row>
        <row r="36">
          <cell r="E36">
            <v>45928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19132</v>
          </cell>
        </row>
        <row r="28">
          <cell r="E28">
            <v>22746</v>
          </cell>
        </row>
        <row r="31">
          <cell r="E31">
            <v>517</v>
          </cell>
        </row>
        <row r="35">
          <cell r="E35">
            <v>1518</v>
          </cell>
        </row>
        <row r="36">
          <cell r="E36">
            <v>43913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15525</v>
          </cell>
        </row>
        <row r="28">
          <cell r="E28">
            <v>12733</v>
          </cell>
        </row>
        <row r="31">
          <cell r="E31">
            <v>554</v>
          </cell>
        </row>
        <row r="35">
          <cell r="E35">
            <v>3094</v>
          </cell>
        </row>
        <row r="36">
          <cell r="E36">
            <v>31906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364460</v>
          </cell>
        </row>
        <row r="28">
          <cell r="E28">
            <v>331077</v>
          </cell>
        </row>
        <row r="31">
          <cell r="E31">
            <v>16217</v>
          </cell>
        </row>
        <row r="35">
          <cell r="E35">
            <v>61629</v>
          </cell>
        </row>
        <row r="36">
          <cell r="E36">
            <v>773383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86447</v>
          </cell>
        </row>
        <row r="28">
          <cell r="E28">
            <v>156553</v>
          </cell>
        </row>
        <row r="31">
          <cell r="E31">
            <v>4960</v>
          </cell>
        </row>
        <row r="35">
          <cell r="E35">
            <v>15586</v>
          </cell>
        </row>
        <row r="36">
          <cell r="E36">
            <v>263546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72868</v>
          </cell>
        </row>
        <row r="28">
          <cell r="E28">
            <v>86210</v>
          </cell>
        </row>
        <row r="31">
          <cell r="E31">
            <v>4119</v>
          </cell>
        </row>
        <row r="35">
          <cell r="E35">
            <v>10602</v>
          </cell>
        </row>
        <row r="36">
          <cell r="E36">
            <v>173799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20431</v>
          </cell>
        </row>
        <row r="28">
          <cell r="E28">
            <v>30228</v>
          </cell>
        </row>
        <row r="31">
          <cell r="E31">
            <v>1169</v>
          </cell>
        </row>
        <row r="35">
          <cell r="E35">
            <v>3483</v>
          </cell>
        </row>
        <row r="36">
          <cell r="E36">
            <v>55311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37191</v>
          </cell>
        </row>
        <row r="28">
          <cell r="E28">
            <v>32306</v>
          </cell>
        </row>
        <row r="31">
          <cell r="E31">
            <v>1259</v>
          </cell>
        </row>
        <row r="35">
          <cell r="E35">
            <v>5165</v>
          </cell>
        </row>
        <row r="36">
          <cell r="E36">
            <v>75921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15492</v>
          </cell>
        </row>
        <row r="28">
          <cell r="E28">
            <v>11492</v>
          </cell>
        </row>
        <row r="31">
          <cell r="E31">
            <v>585</v>
          </cell>
        </row>
        <row r="35">
          <cell r="E35">
            <v>3309</v>
          </cell>
        </row>
        <row r="36">
          <cell r="E36">
            <v>30878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6969</v>
          </cell>
        </row>
        <row r="28">
          <cell r="E28">
            <v>7373</v>
          </cell>
        </row>
        <row r="31">
          <cell r="E31">
            <v>289</v>
          </cell>
        </row>
        <row r="35">
          <cell r="E35">
            <v>1363</v>
          </cell>
        </row>
        <row r="36">
          <cell r="E36">
            <v>15994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71449</v>
          </cell>
        </row>
        <row r="28">
          <cell r="E28">
            <v>102140</v>
          </cell>
        </row>
        <row r="31">
          <cell r="E31">
            <v>2668</v>
          </cell>
        </row>
        <row r="35">
          <cell r="E35">
            <v>15493</v>
          </cell>
        </row>
        <row r="36">
          <cell r="E36">
            <v>191750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50364</v>
          </cell>
        </row>
        <row r="28">
          <cell r="E28">
            <v>45026</v>
          </cell>
        </row>
        <row r="31">
          <cell r="E31">
            <v>1933</v>
          </cell>
        </row>
        <row r="35">
          <cell r="E35">
            <v>8087</v>
          </cell>
        </row>
        <row r="36">
          <cell r="E36">
            <v>105410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11973</v>
          </cell>
        </row>
        <row r="28">
          <cell r="E28">
            <v>10959</v>
          </cell>
        </row>
        <row r="31">
          <cell r="E31">
            <v>662</v>
          </cell>
        </row>
        <row r="35">
          <cell r="E35">
            <v>1820</v>
          </cell>
        </row>
        <row r="36">
          <cell r="E36">
            <v>25414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12688</v>
          </cell>
        </row>
        <row r="28">
          <cell r="E28">
            <v>12735</v>
          </cell>
        </row>
        <row r="31">
          <cell r="E31">
            <v>554</v>
          </cell>
        </row>
        <row r="35">
          <cell r="E35">
            <v>1828</v>
          </cell>
        </row>
        <row r="36">
          <cell r="E36">
            <v>27805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53264</v>
          </cell>
        </row>
        <row r="28">
          <cell r="E28">
            <v>66738</v>
          </cell>
        </row>
        <row r="31">
          <cell r="E31">
            <v>3016</v>
          </cell>
        </row>
        <row r="35">
          <cell r="E35">
            <v>8522</v>
          </cell>
        </row>
        <row r="36">
          <cell r="E36">
            <v>131540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5433</v>
          </cell>
        </row>
        <row r="28">
          <cell r="E28">
            <v>7675</v>
          </cell>
        </row>
        <row r="31">
          <cell r="E31">
            <v>238</v>
          </cell>
        </row>
        <row r="35">
          <cell r="E35">
            <v>920</v>
          </cell>
        </row>
        <row r="36">
          <cell r="E36">
            <v>14266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85096</v>
          </cell>
        </row>
        <row r="28">
          <cell r="E28">
            <v>118913</v>
          </cell>
        </row>
        <row r="31">
          <cell r="E31">
            <v>4555</v>
          </cell>
        </row>
        <row r="35">
          <cell r="E35">
            <v>12243</v>
          </cell>
        </row>
        <row r="36">
          <cell r="E36">
            <v>220807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3433</v>
          </cell>
        </row>
        <row r="28">
          <cell r="E28">
            <v>4353</v>
          </cell>
        </row>
        <row r="31">
          <cell r="E31">
            <v>141</v>
          </cell>
        </row>
        <row r="35">
          <cell r="E35">
            <v>413</v>
          </cell>
        </row>
        <row r="36">
          <cell r="E36">
            <v>8340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33901</v>
          </cell>
        </row>
        <row r="28">
          <cell r="E28">
            <v>35753</v>
          </cell>
        </row>
        <row r="31">
          <cell r="E31">
            <v>1274</v>
          </cell>
        </row>
        <row r="35">
          <cell r="E35">
            <v>3506</v>
          </cell>
        </row>
        <row r="36">
          <cell r="E36">
            <v>74434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36073</v>
          </cell>
        </row>
        <row r="28">
          <cell r="E28">
            <v>59654</v>
          </cell>
        </row>
        <row r="31">
          <cell r="E31">
            <v>845</v>
          </cell>
        </row>
        <row r="35">
          <cell r="E35">
            <v>4612</v>
          </cell>
        </row>
        <row r="36">
          <cell r="E36">
            <v>101184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3489</v>
          </cell>
        </row>
        <row r="28">
          <cell r="E28">
            <v>5208</v>
          </cell>
        </row>
        <row r="31">
          <cell r="E31">
            <v>146</v>
          </cell>
        </row>
        <row r="35">
          <cell r="E35">
            <v>402</v>
          </cell>
        </row>
        <row r="36">
          <cell r="E36">
            <v>9245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27783</v>
          </cell>
        </row>
        <row r="28">
          <cell r="E28">
            <v>29836</v>
          </cell>
        </row>
        <row r="31">
          <cell r="E31">
            <v>1063</v>
          </cell>
        </row>
        <row r="35">
          <cell r="E35">
            <v>3395</v>
          </cell>
        </row>
        <row r="36">
          <cell r="E36">
            <v>62077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132575</v>
          </cell>
        </row>
        <row r="28">
          <cell r="E28">
            <v>145662</v>
          </cell>
        </row>
        <row r="31">
          <cell r="E31">
            <v>5239</v>
          </cell>
        </row>
        <row r="35">
          <cell r="E35">
            <v>19159</v>
          </cell>
        </row>
        <row r="36">
          <cell r="E36">
            <v>302635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25724</v>
          </cell>
        </row>
        <row r="28">
          <cell r="E28">
            <v>19743</v>
          </cell>
        </row>
        <row r="31">
          <cell r="E31">
            <v>934</v>
          </cell>
        </row>
        <row r="35">
          <cell r="E35">
            <v>3691</v>
          </cell>
        </row>
        <row r="36">
          <cell r="E36">
            <v>50092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7052</v>
          </cell>
        </row>
        <row r="28">
          <cell r="E28">
            <v>7704</v>
          </cell>
        </row>
        <row r="31">
          <cell r="E31">
            <v>324</v>
          </cell>
        </row>
        <row r="35">
          <cell r="E35">
            <v>1089</v>
          </cell>
        </row>
        <row r="36">
          <cell r="E36">
            <v>16169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36438</v>
          </cell>
        </row>
        <row r="28">
          <cell r="E28">
            <v>49546</v>
          </cell>
        </row>
        <row r="31">
          <cell r="E31">
            <v>1542</v>
          </cell>
        </row>
        <row r="35">
          <cell r="E35">
            <v>6208</v>
          </cell>
        </row>
        <row r="36">
          <cell r="E36">
            <v>93734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1">
          <cell r="E21">
            <v>3222</v>
          </cell>
        </row>
        <row r="40">
          <cell r="E40">
            <v>8517</v>
          </cell>
        </row>
        <row r="47">
          <cell r="E47">
            <v>747</v>
          </cell>
        </row>
        <row r="54">
          <cell r="E54">
            <v>608</v>
          </cell>
        </row>
        <row r="61">
          <cell r="E61">
            <v>13094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1">
          <cell r="E21">
            <v>3274</v>
          </cell>
        </row>
        <row r="40">
          <cell r="E40">
            <v>7417</v>
          </cell>
        </row>
        <row r="47">
          <cell r="E47">
            <v>1576</v>
          </cell>
        </row>
        <row r="54">
          <cell r="E54">
            <v>692</v>
          </cell>
        </row>
        <row r="61">
          <cell r="E61">
            <v>12959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0">
          <cell r="E20">
            <v>2215172</v>
          </cell>
        </row>
        <row r="39">
          <cell r="E39">
            <v>2720222</v>
          </cell>
        </row>
        <row r="46">
          <cell r="E46">
            <v>194204</v>
          </cell>
        </row>
        <row r="53">
          <cell r="E53">
            <v>400184</v>
          </cell>
        </row>
        <row r="60">
          <cell r="E60">
            <v>5529954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23793</v>
          </cell>
        </row>
        <row r="28">
          <cell r="E28">
            <v>25947</v>
          </cell>
        </row>
        <row r="31">
          <cell r="E31">
            <v>947</v>
          </cell>
        </row>
        <row r="35">
          <cell r="E35">
            <v>3036</v>
          </cell>
        </row>
        <row r="36">
          <cell r="E36">
            <v>53723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17802</v>
          </cell>
        </row>
        <row r="28">
          <cell r="E28">
            <v>17648</v>
          </cell>
        </row>
        <row r="31">
          <cell r="E31">
            <v>982</v>
          </cell>
        </row>
        <row r="35">
          <cell r="E35">
            <v>2984</v>
          </cell>
        </row>
        <row r="36">
          <cell r="E36">
            <v>39416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95985</v>
          </cell>
        </row>
        <row r="28">
          <cell r="E28">
            <v>116007</v>
          </cell>
        </row>
        <row r="31">
          <cell r="E31">
            <v>4805</v>
          </cell>
        </row>
        <row r="35">
          <cell r="E35">
            <v>12070</v>
          </cell>
        </row>
        <row r="36">
          <cell r="E36">
            <v>228867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34332</v>
          </cell>
        </row>
        <row r="28">
          <cell r="E28">
            <v>50710</v>
          </cell>
        </row>
        <row r="31">
          <cell r="E31">
            <v>2311</v>
          </cell>
        </row>
        <row r="35">
          <cell r="E35">
            <v>5981</v>
          </cell>
        </row>
        <row r="36">
          <cell r="E36">
            <v>93334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15379</v>
          </cell>
        </row>
        <row r="28">
          <cell r="E28">
            <v>11749</v>
          </cell>
        </row>
        <row r="31">
          <cell r="E31">
            <v>1894</v>
          </cell>
        </row>
        <row r="35">
          <cell r="E35">
            <v>3020</v>
          </cell>
        </row>
        <row r="36">
          <cell r="E36">
            <v>32042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64477</v>
          </cell>
        </row>
        <row r="28">
          <cell r="E28">
            <v>55044</v>
          </cell>
        </row>
        <row r="31">
          <cell r="E31">
            <v>3705</v>
          </cell>
        </row>
        <row r="35">
          <cell r="E35">
            <v>10543</v>
          </cell>
        </row>
        <row r="36">
          <cell r="E36">
            <v>133769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6481</v>
          </cell>
        </row>
        <row r="28">
          <cell r="E28">
            <v>7823</v>
          </cell>
        </row>
        <row r="31">
          <cell r="E31">
            <v>341</v>
          </cell>
        </row>
        <row r="35">
          <cell r="E35">
            <v>604</v>
          </cell>
        </row>
        <row r="36">
          <cell r="E36">
            <v>15249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28442</v>
          </cell>
        </row>
        <row r="28">
          <cell r="E28">
            <v>34489</v>
          </cell>
        </row>
        <row r="31">
          <cell r="E31">
            <v>1046</v>
          </cell>
        </row>
        <row r="35">
          <cell r="E35">
            <v>3720</v>
          </cell>
        </row>
        <row r="36">
          <cell r="E36">
            <v>67697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65988</v>
          </cell>
        </row>
        <row r="28">
          <cell r="E28">
            <v>76860</v>
          </cell>
        </row>
        <row r="31">
          <cell r="E31">
            <v>2138</v>
          </cell>
        </row>
        <row r="35">
          <cell r="E35">
            <v>7462</v>
          </cell>
        </row>
        <row r="36">
          <cell r="E36">
            <v>152448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295161</v>
          </cell>
        </row>
        <row r="28">
          <cell r="E28">
            <v>363988</v>
          </cell>
        </row>
        <row r="31">
          <cell r="E31">
            <v>8747</v>
          </cell>
        </row>
        <row r="35">
          <cell r="E35">
            <v>44164</v>
          </cell>
        </row>
        <row r="36">
          <cell r="E36">
            <v>712060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50806</v>
          </cell>
        </row>
        <row r="28">
          <cell r="E28">
            <v>44939</v>
          </cell>
        </row>
        <row r="31">
          <cell r="E31">
            <v>1884</v>
          </cell>
        </row>
        <row r="35">
          <cell r="E35">
            <v>11745</v>
          </cell>
        </row>
        <row r="36">
          <cell r="E36">
            <v>109374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36829</v>
          </cell>
        </row>
        <row r="28">
          <cell r="E28">
            <v>56913</v>
          </cell>
        </row>
        <row r="31">
          <cell r="E31">
            <v>1220</v>
          </cell>
        </row>
        <row r="35">
          <cell r="E35">
            <v>4502</v>
          </cell>
        </row>
        <row r="36">
          <cell r="E36">
            <v>99464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17559</v>
          </cell>
        </row>
        <row r="28">
          <cell r="E28">
            <v>17768</v>
          </cell>
        </row>
        <row r="31">
          <cell r="E31">
            <v>894</v>
          </cell>
        </row>
        <row r="35">
          <cell r="E35">
            <v>2724</v>
          </cell>
        </row>
        <row r="36">
          <cell r="E36">
            <v>38945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15342</v>
          </cell>
        </row>
        <row r="28">
          <cell r="E28">
            <v>19635</v>
          </cell>
        </row>
        <row r="31">
          <cell r="E31">
            <v>494</v>
          </cell>
        </row>
        <row r="35">
          <cell r="E35">
            <v>1731</v>
          </cell>
        </row>
        <row r="36">
          <cell r="E36">
            <v>37202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66502</v>
          </cell>
        </row>
        <row r="28">
          <cell r="E28">
            <v>88901</v>
          </cell>
        </row>
        <row r="31">
          <cell r="E31">
            <v>17381</v>
          </cell>
        </row>
        <row r="35">
          <cell r="E35">
            <v>8482</v>
          </cell>
        </row>
        <row r="36">
          <cell r="E36">
            <v>181266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35793</v>
          </cell>
        </row>
        <row r="28">
          <cell r="E28">
            <v>31926</v>
          </cell>
        </row>
        <row r="31">
          <cell r="E31">
            <v>1210</v>
          </cell>
        </row>
        <row r="35">
          <cell r="E35">
            <v>5357</v>
          </cell>
        </row>
        <row r="36">
          <cell r="E36">
            <v>74286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27897</v>
          </cell>
        </row>
        <row r="28">
          <cell r="E28">
            <v>33976</v>
          </cell>
        </row>
        <row r="31">
          <cell r="E31">
            <v>1849</v>
          </cell>
        </row>
        <row r="35">
          <cell r="E35">
            <v>3952</v>
          </cell>
        </row>
        <row r="36">
          <cell r="E36">
            <v>67674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22734</v>
          </cell>
        </row>
        <row r="28">
          <cell r="E28">
            <v>26351</v>
          </cell>
        </row>
        <row r="31">
          <cell r="E31">
            <v>1083</v>
          </cell>
        </row>
        <row r="35">
          <cell r="E35">
            <v>3135</v>
          </cell>
        </row>
        <row r="36">
          <cell r="E36">
            <v>53303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33516</v>
          </cell>
        </row>
        <row r="28">
          <cell r="E28">
            <v>57292</v>
          </cell>
        </row>
        <row r="31">
          <cell r="E31">
            <v>1579</v>
          </cell>
        </row>
        <row r="35">
          <cell r="E35">
            <v>4934</v>
          </cell>
        </row>
        <row r="36">
          <cell r="E36">
            <v>97321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54724</v>
          </cell>
        </row>
        <row r="28">
          <cell r="E28">
            <v>52403</v>
          </cell>
        </row>
        <row r="31">
          <cell r="E31">
            <v>2416</v>
          </cell>
        </row>
        <row r="35">
          <cell r="E35">
            <v>11521</v>
          </cell>
        </row>
        <row r="36">
          <cell r="E36">
            <v>121064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7002</v>
          </cell>
        </row>
        <row r="28">
          <cell r="E28">
            <v>10654</v>
          </cell>
        </row>
        <row r="31">
          <cell r="E31">
            <v>507</v>
          </cell>
        </row>
        <row r="35">
          <cell r="E35">
            <v>1219</v>
          </cell>
        </row>
        <row r="36">
          <cell r="E36">
            <v>19382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22301</v>
          </cell>
        </row>
        <row r="28">
          <cell r="E28">
            <v>32008</v>
          </cell>
        </row>
        <row r="31">
          <cell r="E31">
            <v>2114</v>
          </cell>
        </row>
        <row r="35">
          <cell r="E35">
            <v>4270</v>
          </cell>
        </row>
        <row r="36">
          <cell r="E36">
            <v>60693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60725</v>
          </cell>
        </row>
        <row r="28">
          <cell r="E28">
            <v>49111</v>
          </cell>
        </row>
        <row r="31">
          <cell r="E31">
            <v>2459</v>
          </cell>
        </row>
        <row r="35">
          <cell r="E35">
            <v>10207</v>
          </cell>
        </row>
        <row r="36">
          <cell r="E36">
            <v>122502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34791</v>
          </cell>
        </row>
        <row r="28">
          <cell r="E28">
            <v>53900</v>
          </cell>
        </row>
        <row r="31">
          <cell r="E31">
            <v>1247</v>
          </cell>
        </row>
        <row r="35">
          <cell r="E35">
            <v>3768</v>
          </cell>
        </row>
        <row r="36">
          <cell r="E36">
            <v>93706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45592</v>
          </cell>
        </row>
        <row r="28">
          <cell r="E28">
            <v>68875</v>
          </cell>
        </row>
        <row r="31">
          <cell r="E31">
            <v>10208</v>
          </cell>
        </row>
        <row r="35">
          <cell r="E35">
            <v>8738</v>
          </cell>
        </row>
        <row r="36">
          <cell r="E36">
            <v>133413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11927</v>
          </cell>
        </row>
        <row r="28">
          <cell r="E28">
            <v>12657</v>
          </cell>
        </row>
        <row r="31">
          <cell r="E31">
            <v>553</v>
          </cell>
        </row>
        <row r="35">
          <cell r="E35">
            <v>2128</v>
          </cell>
        </row>
        <row r="36">
          <cell r="E36">
            <v>27265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26751</v>
          </cell>
        </row>
        <row r="28">
          <cell r="E28">
            <v>34944</v>
          </cell>
        </row>
        <row r="31">
          <cell r="E31">
            <v>1376</v>
          </cell>
        </row>
        <row r="35">
          <cell r="E35">
            <v>3579</v>
          </cell>
        </row>
        <row r="36">
          <cell r="E36">
            <v>66650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8731</v>
          </cell>
        </row>
        <row r="28">
          <cell r="E28">
            <v>11870</v>
          </cell>
        </row>
        <row r="31">
          <cell r="E31">
            <v>380</v>
          </cell>
        </row>
        <row r="35">
          <cell r="E35">
            <v>890</v>
          </cell>
        </row>
        <row r="36">
          <cell r="E36">
            <v>21871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26378</v>
          </cell>
        </row>
        <row r="28">
          <cell r="E28">
            <v>37920</v>
          </cell>
        </row>
        <row r="31">
          <cell r="E31">
            <v>1553</v>
          </cell>
        </row>
        <row r="35">
          <cell r="E35">
            <v>3778</v>
          </cell>
        </row>
        <row r="36">
          <cell r="E36">
            <v>69629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23879</v>
          </cell>
        </row>
        <row r="28">
          <cell r="E28">
            <v>24053</v>
          </cell>
        </row>
        <row r="31">
          <cell r="E31">
            <v>937</v>
          </cell>
        </row>
        <row r="35">
          <cell r="E35">
            <v>4478</v>
          </cell>
        </row>
        <row r="36">
          <cell r="E36">
            <v>53347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20544</v>
          </cell>
        </row>
        <row r="28">
          <cell r="E28">
            <v>27235</v>
          </cell>
        </row>
        <row r="31">
          <cell r="E31">
            <v>585</v>
          </cell>
        </row>
        <row r="35">
          <cell r="E35">
            <v>2169</v>
          </cell>
        </row>
        <row r="36">
          <cell r="E36">
            <v>50533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16045</v>
          </cell>
        </row>
        <row r="28">
          <cell r="E28">
            <v>15202</v>
          </cell>
        </row>
        <row r="31">
          <cell r="E31">
            <v>877</v>
          </cell>
        </row>
        <row r="35">
          <cell r="E35">
            <v>3169</v>
          </cell>
        </row>
        <row r="36">
          <cell r="E36">
            <v>35293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363895</v>
          </cell>
        </row>
        <row r="28">
          <cell r="E28">
            <v>391275</v>
          </cell>
        </row>
        <row r="31">
          <cell r="E31">
            <v>19670</v>
          </cell>
        </row>
        <row r="35">
          <cell r="E35">
            <v>60933</v>
          </cell>
        </row>
        <row r="36">
          <cell r="E36">
            <v>835773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7687</v>
          </cell>
        </row>
        <row r="28">
          <cell r="E28">
            <v>10567</v>
          </cell>
        </row>
        <row r="31">
          <cell r="E31">
            <v>454</v>
          </cell>
        </row>
        <row r="35">
          <cell r="E35">
            <v>1134</v>
          </cell>
        </row>
        <row r="36">
          <cell r="E36">
            <v>19842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90111</v>
          </cell>
        </row>
        <row r="28">
          <cell r="E28">
            <v>182554</v>
          </cell>
        </row>
        <row r="31">
          <cell r="E31">
            <v>8448</v>
          </cell>
        </row>
        <row r="35">
          <cell r="E35">
            <v>14563</v>
          </cell>
        </row>
        <row r="36">
          <cell r="E36">
            <v>295676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77201</v>
          </cell>
        </row>
        <row r="28">
          <cell r="E28">
            <v>99969</v>
          </cell>
        </row>
        <row r="31">
          <cell r="E31">
            <v>3914</v>
          </cell>
        </row>
        <row r="35">
          <cell r="E35">
            <v>10713</v>
          </cell>
        </row>
        <row r="36">
          <cell r="E36">
            <v>191797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22053</v>
          </cell>
        </row>
        <row r="28">
          <cell r="E28">
            <v>34276</v>
          </cell>
        </row>
        <row r="31">
          <cell r="E31">
            <v>1215</v>
          </cell>
        </row>
        <row r="35">
          <cell r="E35">
            <v>3666</v>
          </cell>
        </row>
        <row r="36">
          <cell r="E36">
            <v>61210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16215</v>
          </cell>
        </row>
        <row r="28">
          <cell r="E28">
            <v>13305</v>
          </cell>
        </row>
        <row r="31">
          <cell r="E31">
            <v>677</v>
          </cell>
        </row>
        <row r="35">
          <cell r="E35">
            <v>3719</v>
          </cell>
        </row>
        <row r="36">
          <cell r="E36">
            <v>33916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7634</v>
          </cell>
        </row>
        <row r="28">
          <cell r="E28">
            <v>9094</v>
          </cell>
        </row>
        <row r="31">
          <cell r="E31">
            <v>255</v>
          </cell>
        </row>
        <row r="35">
          <cell r="E35">
            <v>1262</v>
          </cell>
        </row>
        <row r="36">
          <cell r="E36">
            <v>18245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74209</v>
          </cell>
        </row>
        <row r="28">
          <cell r="E28">
            <v>117162</v>
          </cell>
        </row>
        <row r="31">
          <cell r="E31">
            <v>2780</v>
          </cell>
        </row>
        <row r="35">
          <cell r="E35">
            <v>18436</v>
          </cell>
        </row>
        <row r="36">
          <cell r="E36">
            <v>212587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51083</v>
          </cell>
        </row>
        <row r="28">
          <cell r="E28">
            <v>55409</v>
          </cell>
        </row>
        <row r="31">
          <cell r="E31">
            <v>2070</v>
          </cell>
        </row>
        <row r="35">
          <cell r="E35">
            <v>8880</v>
          </cell>
        </row>
        <row r="36">
          <cell r="E36">
            <v>117442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13036</v>
          </cell>
        </row>
        <row r="28">
          <cell r="E28">
            <v>11630</v>
          </cell>
        </row>
        <row r="31">
          <cell r="E31">
            <v>694</v>
          </cell>
        </row>
        <row r="35">
          <cell r="E35">
            <v>2049</v>
          </cell>
        </row>
        <row r="36">
          <cell r="E36">
            <v>27409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14793</v>
          </cell>
        </row>
        <row r="28">
          <cell r="E28">
            <v>14968</v>
          </cell>
        </row>
        <row r="31">
          <cell r="E31">
            <v>873</v>
          </cell>
        </row>
        <row r="35">
          <cell r="E35">
            <v>1983</v>
          </cell>
        </row>
        <row r="36">
          <cell r="E36">
            <v>32617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56241</v>
          </cell>
        </row>
        <row r="28">
          <cell r="E28">
            <v>78564</v>
          </cell>
        </row>
        <row r="31">
          <cell r="E31">
            <v>2771</v>
          </cell>
        </row>
        <row r="35">
          <cell r="E35">
            <v>9766</v>
          </cell>
        </row>
        <row r="36">
          <cell r="E36">
            <v>147342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116058</v>
          </cell>
        </row>
        <row r="28">
          <cell r="E28">
            <v>115395</v>
          </cell>
        </row>
        <row r="31">
          <cell r="E31">
            <v>4040</v>
          </cell>
        </row>
        <row r="35">
          <cell r="E35">
            <v>11878</v>
          </cell>
        </row>
        <row r="36">
          <cell r="E36">
            <v>247371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24726</v>
          </cell>
        </row>
        <row r="28">
          <cell r="E28">
            <v>33003</v>
          </cell>
        </row>
        <row r="31">
          <cell r="E31">
            <v>2150</v>
          </cell>
        </row>
        <row r="35">
          <cell r="E35">
            <v>4945</v>
          </cell>
        </row>
        <row r="36">
          <cell r="E36">
            <v>64824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6426</v>
          </cell>
        </row>
        <row r="28">
          <cell r="E28">
            <v>8148</v>
          </cell>
        </row>
        <row r="31">
          <cell r="E31">
            <v>349</v>
          </cell>
        </row>
        <row r="35">
          <cell r="E35">
            <v>841</v>
          </cell>
        </row>
        <row r="36">
          <cell r="E36">
            <v>15764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95453</v>
          </cell>
        </row>
        <row r="28">
          <cell r="E28">
            <v>135898</v>
          </cell>
        </row>
        <row r="31">
          <cell r="E31">
            <v>5224</v>
          </cell>
        </row>
        <row r="35">
          <cell r="E35">
            <v>14225</v>
          </cell>
        </row>
        <row r="36">
          <cell r="E36">
            <v>250800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3670</v>
          </cell>
        </row>
        <row r="28">
          <cell r="E28">
            <v>5067</v>
          </cell>
        </row>
        <row r="31">
          <cell r="E31">
            <v>181</v>
          </cell>
        </row>
        <row r="35">
          <cell r="E35">
            <v>460</v>
          </cell>
        </row>
        <row r="36">
          <cell r="E36">
            <v>9378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39687</v>
          </cell>
        </row>
        <row r="28">
          <cell r="E28">
            <v>66115</v>
          </cell>
        </row>
        <row r="31">
          <cell r="E31">
            <v>952</v>
          </cell>
        </row>
        <row r="35">
          <cell r="E35">
            <v>5379</v>
          </cell>
        </row>
        <row r="36">
          <cell r="E36">
            <v>112133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3626</v>
          </cell>
        </row>
        <row r="28">
          <cell r="E28">
            <v>6229</v>
          </cell>
        </row>
        <row r="31">
          <cell r="E31">
            <v>416</v>
          </cell>
        </row>
        <row r="35">
          <cell r="E35">
            <v>532</v>
          </cell>
        </row>
        <row r="36">
          <cell r="E36">
            <v>10803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32603</v>
          </cell>
        </row>
        <row r="28">
          <cell r="E28">
            <v>33868</v>
          </cell>
        </row>
        <row r="31">
          <cell r="E31">
            <v>1501</v>
          </cell>
        </row>
        <row r="35">
          <cell r="E35">
            <v>3762</v>
          </cell>
        </row>
        <row r="36">
          <cell r="E36">
            <v>71734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138792</v>
          </cell>
        </row>
        <row r="28">
          <cell r="E28">
            <v>166514</v>
          </cell>
        </row>
        <row r="31">
          <cell r="E31">
            <v>6651</v>
          </cell>
        </row>
        <row r="35">
          <cell r="E35">
            <v>18810</v>
          </cell>
        </row>
        <row r="36">
          <cell r="E36">
            <v>330767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26057</v>
          </cell>
        </row>
        <row r="28">
          <cell r="E28">
            <v>23885</v>
          </cell>
        </row>
        <row r="31">
          <cell r="E31">
            <v>1360</v>
          </cell>
        </row>
        <row r="35">
          <cell r="E35">
            <v>4279</v>
          </cell>
        </row>
        <row r="36">
          <cell r="E36">
            <v>55581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8012</v>
          </cell>
        </row>
        <row r="28">
          <cell r="E28">
            <v>8847</v>
          </cell>
        </row>
        <row r="31">
          <cell r="E31">
            <v>332</v>
          </cell>
        </row>
        <row r="35">
          <cell r="E35">
            <v>1226</v>
          </cell>
        </row>
        <row r="36">
          <cell r="E36">
            <v>18417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42028</v>
          </cell>
        </row>
        <row r="28">
          <cell r="E28">
            <v>65092</v>
          </cell>
        </row>
        <row r="31">
          <cell r="E31">
            <v>2179</v>
          </cell>
        </row>
        <row r="35">
          <cell r="E35">
            <v>6912</v>
          </cell>
        </row>
        <row r="36">
          <cell r="E36">
            <v>116211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46107</v>
          </cell>
        </row>
        <row r="28">
          <cell r="E28">
            <v>56586</v>
          </cell>
        </row>
        <row r="31">
          <cell r="E31">
            <v>1177</v>
          </cell>
        </row>
        <row r="35">
          <cell r="E35">
            <v>3808</v>
          </cell>
        </row>
        <row r="36">
          <cell r="E36">
            <v>107678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3637</v>
          </cell>
        </row>
        <row r="40">
          <cell r="E40">
            <v>10040</v>
          </cell>
        </row>
        <row r="47">
          <cell r="E47">
            <v>1824</v>
          </cell>
        </row>
        <row r="54">
          <cell r="E54">
            <v>465</v>
          </cell>
        </row>
        <row r="61">
          <cell r="E61">
            <v>15966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3380</v>
          </cell>
        </row>
        <row r="40">
          <cell r="E40">
            <v>8613</v>
          </cell>
        </row>
        <row r="47">
          <cell r="E47">
            <v>1303</v>
          </cell>
        </row>
        <row r="54">
          <cell r="E54">
            <v>612</v>
          </cell>
        </row>
        <row r="61">
          <cell r="E61">
            <v>13908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2384147</v>
          </cell>
        </row>
        <row r="39">
          <cell r="E39">
            <v>3213114</v>
          </cell>
        </row>
        <row r="46">
          <cell r="E46">
            <v>249367</v>
          </cell>
        </row>
        <row r="53">
          <cell r="E53">
            <v>432489</v>
          </cell>
        </row>
        <row r="60">
          <cell r="E60">
            <v>6279302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16122</v>
          </cell>
        </row>
        <row r="28">
          <cell r="E28">
            <v>17647</v>
          </cell>
        </row>
        <row r="31">
          <cell r="E31">
            <v>834</v>
          </cell>
        </row>
        <row r="35">
          <cell r="E35">
            <v>2624</v>
          </cell>
        </row>
        <row r="36">
          <cell r="E36">
            <v>37227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88785</v>
          </cell>
        </row>
        <row r="28">
          <cell r="E28">
            <v>116436</v>
          </cell>
        </row>
        <row r="31">
          <cell r="E31">
            <v>4960</v>
          </cell>
        </row>
        <row r="35">
          <cell r="E35">
            <v>10898</v>
          </cell>
        </row>
        <row r="36">
          <cell r="E36">
            <v>221079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34056</v>
          </cell>
        </row>
        <row r="28">
          <cell r="E28">
            <v>51151</v>
          </cell>
        </row>
        <row r="31">
          <cell r="E31">
            <v>2161</v>
          </cell>
        </row>
        <row r="35">
          <cell r="E35">
            <v>5529</v>
          </cell>
        </row>
        <row r="36">
          <cell r="E36">
            <v>92897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14382</v>
          </cell>
        </row>
        <row r="28">
          <cell r="E28">
            <v>12162</v>
          </cell>
        </row>
        <row r="31">
          <cell r="E31">
            <v>2010</v>
          </cell>
        </row>
        <row r="35">
          <cell r="E35">
            <v>2939</v>
          </cell>
        </row>
        <row r="36">
          <cell r="E36">
            <v>31493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63097</v>
          </cell>
        </row>
        <row r="28">
          <cell r="E28">
            <v>54003</v>
          </cell>
        </row>
        <row r="31">
          <cell r="E31">
            <v>3083</v>
          </cell>
        </row>
        <row r="35">
          <cell r="E35">
            <v>11143</v>
          </cell>
        </row>
        <row r="36">
          <cell r="E36">
            <v>131326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6864</v>
          </cell>
        </row>
        <row r="28">
          <cell r="E28">
            <v>8116</v>
          </cell>
        </row>
        <row r="31">
          <cell r="E31">
            <v>364</v>
          </cell>
        </row>
        <row r="35">
          <cell r="E35">
            <v>651</v>
          </cell>
        </row>
        <row r="36">
          <cell r="E36">
            <v>15995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29228</v>
          </cell>
        </row>
        <row r="28">
          <cell r="E28">
            <v>33463</v>
          </cell>
        </row>
        <row r="31">
          <cell r="E31">
            <v>986</v>
          </cell>
        </row>
        <row r="35">
          <cell r="E35">
            <v>3640</v>
          </cell>
        </row>
        <row r="36">
          <cell r="E36">
            <v>67317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50024</v>
          </cell>
        </row>
        <row r="28">
          <cell r="E28">
            <v>74374</v>
          </cell>
        </row>
        <row r="31">
          <cell r="E31">
            <v>3158</v>
          </cell>
        </row>
        <row r="35">
          <cell r="E35">
            <v>8218</v>
          </cell>
        </row>
        <row r="36">
          <cell r="E36">
            <v>135774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59479</v>
          </cell>
        </row>
        <row r="28">
          <cell r="E28">
            <v>74582</v>
          </cell>
        </row>
        <row r="31">
          <cell r="E31">
            <v>2201</v>
          </cell>
        </row>
        <row r="35">
          <cell r="E35">
            <v>6966</v>
          </cell>
        </row>
        <row r="36">
          <cell r="E36">
            <v>143228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266700</v>
          </cell>
        </row>
        <row r="28">
          <cell r="E28">
            <v>329795</v>
          </cell>
        </row>
        <row r="31">
          <cell r="E31">
            <v>8413</v>
          </cell>
        </row>
        <row r="35">
          <cell r="E35">
            <v>39957</v>
          </cell>
        </row>
        <row r="36">
          <cell r="E36">
            <v>644865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49469</v>
          </cell>
        </row>
        <row r="28">
          <cell r="E28">
            <v>43829</v>
          </cell>
        </row>
        <row r="31">
          <cell r="E31">
            <v>2195</v>
          </cell>
        </row>
        <row r="35">
          <cell r="E35">
            <v>11418</v>
          </cell>
        </row>
        <row r="36">
          <cell r="E36">
            <v>106911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17428</v>
          </cell>
        </row>
        <row r="28">
          <cell r="E28">
            <v>18007</v>
          </cell>
        </row>
        <row r="31">
          <cell r="E31">
            <v>947</v>
          </cell>
        </row>
        <row r="35">
          <cell r="E35">
            <v>2767</v>
          </cell>
        </row>
        <row r="36">
          <cell r="E36">
            <v>39149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17326</v>
          </cell>
        </row>
        <row r="28">
          <cell r="E28">
            <v>17746</v>
          </cell>
        </row>
        <row r="31">
          <cell r="E31">
            <v>426</v>
          </cell>
        </row>
        <row r="35">
          <cell r="E35">
            <v>1641</v>
          </cell>
        </row>
        <row r="36">
          <cell r="E36">
            <v>37139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62928</v>
          </cell>
        </row>
        <row r="28">
          <cell r="E28">
            <v>86948</v>
          </cell>
        </row>
        <row r="31">
          <cell r="E31">
            <v>8964</v>
          </cell>
        </row>
        <row r="35">
          <cell r="E35">
            <v>7101</v>
          </cell>
        </row>
        <row r="36">
          <cell r="E36">
            <v>165941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33680</v>
          </cell>
        </row>
        <row r="28">
          <cell r="E28">
            <v>32368</v>
          </cell>
        </row>
        <row r="31">
          <cell r="E31">
            <v>1195</v>
          </cell>
        </row>
        <row r="35">
          <cell r="E35">
            <v>4689</v>
          </cell>
        </row>
        <row r="36">
          <cell r="E36">
            <v>71932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25720</v>
          </cell>
        </row>
        <row r="28">
          <cell r="E28">
            <v>32820</v>
          </cell>
        </row>
        <row r="31">
          <cell r="E31">
            <v>2032</v>
          </cell>
        </row>
        <row r="35">
          <cell r="E35">
            <v>4015</v>
          </cell>
        </row>
        <row r="36">
          <cell r="E36">
            <v>64587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20483</v>
          </cell>
        </row>
        <row r="28">
          <cell r="E28">
            <v>27372</v>
          </cell>
        </row>
        <row r="31">
          <cell r="E31">
            <v>877</v>
          </cell>
        </row>
        <row r="35">
          <cell r="E35">
            <v>2808</v>
          </cell>
        </row>
        <row r="36">
          <cell r="E36">
            <v>51540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33053</v>
          </cell>
        </row>
        <row r="28">
          <cell r="E28">
            <v>55258</v>
          </cell>
        </row>
        <row r="31">
          <cell r="E31">
            <v>1745</v>
          </cell>
        </row>
        <row r="35">
          <cell r="E35">
            <v>4447</v>
          </cell>
        </row>
        <row r="36">
          <cell r="E36">
            <v>94503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14778</v>
          </cell>
        </row>
        <row r="28">
          <cell r="E28">
            <v>14379</v>
          </cell>
        </row>
        <row r="31">
          <cell r="E31">
            <v>572</v>
          </cell>
        </row>
        <row r="35">
          <cell r="E35">
            <v>1851</v>
          </cell>
        </row>
        <row r="36">
          <cell r="E36">
            <v>31580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49802</v>
          </cell>
        </row>
        <row r="28">
          <cell r="E28">
            <v>48902</v>
          </cell>
        </row>
        <row r="31">
          <cell r="E31">
            <v>2349</v>
          </cell>
        </row>
        <row r="35">
          <cell r="E35">
            <v>10242</v>
          </cell>
        </row>
        <row r="36">
          <cell r="E36">
            <v>111295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7705</v>
          </cell>
        </row>
        <row r="28">
          <cell r="E28">
            <v>10260</v>
          </cell>
        </row>
        <row r="31">
          <cell r="E31">
            <v>425</v>
          </cell>
        </row>
        <row r="35">
          <cell r="E35">
            <v>1204</v>
          </cell>
        </row>
        <row r="36">
          <cell r="E36">
            <v>19594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20413</v>
          </cell>
        </row>
        <row r="28">
          <cell r="E28">
            <v>30536</v>
          </cell>
        </row>
        <row r="31">
          <cell r="E31">
            <v>1997</v>
          </cell>
        </row>
        <row r="35">
          <cell r="E35">
            <v>4005</v>
          </cell>
        </row>
        <row r="36">
          <cell r="E36">
            <v>56951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32635</v>
          </cell>
        </row>
        <row r="28">
          <cell r="E28">
            <v>50675</v>
          </cell>
        </row>
        <row r="31">
          <cell r="E31">
            <v>1254</v>
          </cell>
        </row>
        <row r="35">
          <cell r="E35">
            <v>3481</v>
          </cell>
        </row>
        <row r="36">
          <cell r="E36">
            <v>88045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44300</v>
          </cell>
        </row>
        <row r="28">
          <cell r="E28">
            <v>67912</v>
          </cell>
        </row>
        <row r="31">
          <cell r="E31">
            <v>5300</v>
          </cell>
        </row>
        <row r="35">
          <cell r="E35">
            <v>7535</v>
          </cell>
        </row>
        <row r="36">
          <cell r="E36">
            <v>125047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11567</v>
          </cell>
        </row>
        <row r="28">
          <cell r="E28">
            <v>11921</v>
          </cell>
        </row>
        <row r="31">
          <cell r="E31">
            <v>573</v>
          </cell>
        </row>
        <row r="35">
          <cell r="E35">
            <v>1640</v>
          </cell>
        </row>
        <row r="36">
          <cell r="E36">
            <v>25701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26477</v>
          </cell>
        </row>
        <row r="28">
          <cell r="E28">
            <v>35915</v>
          </cell>
        </row>
        <row r="31">
          <cell r="E31">
            <v>1611</v>
          </cell>
        </row>
        <row r="35">
          <cell r="E35">
            <v>3363</v>
          </cell>
        </row>
        <row r="36">
          <cell r="E36">
            <v>67366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8024</v>
          </cell>
        </row>
        <row r="28">
          <cell r="E28">
            <v>11169</v>
          </cell>
        </row>
        <row r="31">
          <cell r="E31">
            <v>458</v>
          </cell>
        </row>
        <row r="35">
          <cell r="E35">
            <v>883</v>
          </cell>
        </row>
        <row r="36">
          <cell r="E36">
            <v>20534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27208</v>
          </cell>
        </row>
        <row r="28">
          <cell r="E28">
            <v>39261</v>
          </cell>
        </row>
        <row r="31">
          <cell r="E31">
            <v>2087</v>
          </cell>
        </row>
        <row r="35">
          <cell r="E35">
            <v>2963</v>
          </cell>
        </row>
        <row r="36">
          <cell r="E36">
            <v>71519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22180</v>
          </cell>
        </row>
        <row r="28">
          <cell r="E28">
            <v>22440</v>
          </cell>
        </row>
        <row r="31">
          <cell r="E31">
            <v>1072</v>
          </cell>
        </row>
        <row r="35">
          <cell r="E35">
            <v>4334</v>
          </cell>
        </row>
        <row r="36">
          <cell r="E36">
            <v>50026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27712</v>
          </cell>
        </row>
        <row r="28">
          <cell r="E28">
            <v>37013</v>
          </cell>
        </row>
        <row r="31">
          <cell r="E31">
            <v>1676</v>
          </cell>
        </row>
        <row r="35">
          <cell r="E35">
            <v>3649</v>
          </cell>
        </row>
        <row r="36">
          <cell r="E36">
            <v>70050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18298</v>
          </cell>
        </row>
        <row r="28">
          <cell r="E28">
            <v>25047</v>
          </cell>
        </row>
        <row r="31">
          <cell r="E31">
            <v>539</v>
          </cell>
        </row>
        <row r="35">
          <cell r="E35">
            <v>1703</v>
          </cell>
        </row>
        <row r="36">
          <cell r="E36">
            <v>45587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13865</v>
          </cell>
        </row>
        <row r="28">
          <cell r="E28">
            <v>14404</v>
          </cell>
        </row>
        <row r="31">
          <cell r="E31">
            <v>676</v>
          </cell>
        </row>
        <row r="35">
          <cell r="E35">
            <v>3120</v>
          </cell>
        </row>
        <row r="36">
          <cell r="E36">
            <v>32065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328108</v>
          </cell>
        </row>
        <row r="28">
          <cell r="E28">
            <v>383347</v>
          </cell>
        </row>
        <row r="31">
          <cell r="E31">
            <v>19171</v>
          </cell>
        </row>
        <row r="35">
          <cell r="E35">
            <v>57555</v>
          </cell>
        </row>
        <row r="36">
          <cell r="E36">
            <v>788181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90104</v>
          </cell>
        </row>
        <row r="28">
          <cell r="E28">
            <v>185136</v>
          </cell>
        </row>
        <row r="31">
          <cell r="E31">
            <v>7077</v>
          </cell>
        </row>
        <row r="35">
          <cell r="E35">
            <v>13211</v>
          </cell>
        </row>
        <row r="36">
          <cell r="E36">
            <v>295528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69166</v>
          </cell>
        </row>
        <row r="28">
          <cell r="E28">
            <v>99968</v>
          </cell>
        </row>
        <row r="31">
          <cell r="E31">
            <v>3660</v>
          </cell>
        </row>
        <row r="35">
          <cell r="E35">
            <v>9569</v>
          </cell>
        </row>
        <row r="36">
          <cell r="E36">
            <v>182363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20344</v>
          </cell>
        </row>
        <row r="28">
          <cell r="E28">
            <v>32317</v>
          </cell>
        </row>
        <row r="31">
          <cell r="E31">
            <v>1096</v>
          </cell>
        </row>
        <row r="35">
          <cell r="E35">
            <v>3513</v>
          </cell>
        </row>
        <row r="36">
          <cell r="E36">
            <v>57270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13485</v>
          </cell>
        </row>
        <row r="28">
          <cell r="E28">
            <v>13408</v>
          </cell>
        </row>
        <row r="31">
          <cell r="E31">
            <v>609</v>
          </cell>
        </row>
        <row r="35">
          <cell r="E35">
            <v>3596</v>
          </cell>
        </row>
        <row r="36">
          <cell r="E36">
            <v>31098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8139</v>
          </cell>
        </row>
        <row r="28">
          <cell r="E28">
            <v>9129</v>
          </cell>
        </row>
        <row r="31">
          <cell r="E31">
            <v>378</v>
          </cell>
        </row>
        <row r="35">
          <cell r="E35">
            <v>1136</v>
          </cell>
        </row>
        <row r="36">
          <cell r="E36">
            <v>18782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67779</v>
          </cell>
        </row>
        <row r="28">
          <cell r="E28">
            <v>117185</v>
          </cell>
        </row>
        <row r="31">
          <cell r="E31">
            <v>2697</v>
          </cell>
        </row>
        <row r="35">
          <cell r="E35">
            <v>15220</v>
          </cell>
        </row>
        <row r="36">
          <cell r="E36">
            <v>202881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43919</v>
          </cell>
        </row>
        <row r="28">
          <cell r="E28">
            <v>51041</v>
          </cell>
        </row>
        <row r="31">
          <cell r="E31">
            <v>2317</v>
          </cell>
        </row>
        <row r="35">
          <cell r="E35">
            <v>8263</v>
          </cell>
        </row>
        <row r="36">
          <cell r="E36">
            <v>105540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9432</v>
          </cell>
        </row>
        <row r="28">
          <cell r="E28">
            <v>12095</v>
          </cell>
        </row>
        <row r="31">
          <cell r="E31">
            <v>313</v>
          </cell>
        </row>
        <row r="35">
          <cell r="E35">
            <v>975</v>
          </cell>
        </row>
        <row r="36">
          <cell r="E36">
            <v>22815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12751</v>
          </cell>
        </row>
        <row r="28">
          <cell r="E28">
            <v>11364</v>
          </cell>
        </row>
        <row r="31">
          <cell r="E31">
            <v>782</v>
          </cell>
        </row>
        <row r="35">
          <cell r="E35">
            <v>2199</v>
          </cell>
        </row>
        <row r="36">
          <cell r="E36">
            <v>27096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14720</v>
          </cell>
        </row>
        <row r="28">
          <cell r="E28">
            <v>15356</v>
          </cell>
        </row>
        <row r="31">
          <cell r="E31">
            <v>762</v>
          </cell>
        </row>
        <row r="35">
          <cell r="E35">
            <v>1861</v>
          </cell>
        </row>
        <row r="36">
          <cell r="E36">
            <v>32699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50588</v>
          </cell>
        </row>
        <row r="28">
          <cell r="E28">
            <v>77287</v>
          </cell>
        </row>
        <row r="31">
          <cell r="E31">
            <v>2414</v>
          </cell>
        </row>
        <row r="35">
          <cell r="E35">
            <v>8356</v>
          </cell>
        </row>
        <row r="36">
          <cell r="E36">
            <v>138645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6342</v>
          </cell>
        </row>
        <row r="28">
          <cell r="E28">
            <v>8072</v>
          </cell>
        </row>
        <row r="31">
          <cell r="E31">
            <v>501</v>
          </cell>
        </row>
        <row r="35">
          <cell r="E35">
            <v>789</v>
          </cell>
        </row>
        <row r="36">
          <cell r="E36">
            <v>15704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93693</v>
          </cell>
        </row>
        <row r="28">
          <cell r="E28">
            <v>135816</v>
          </cell>
        </row>
        <row r="31">
          <cell r="E31">
            <v>5547</v>
          </cell>
        </row>
        <row r="35">
          <cell r="E35">
            <v>13884</v>
          </cell>
        </row>
        <row r="36">
          <cell r="E36">
            <v>248940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3414</v>
          </cell>
        </row>
        <row r="28">
          <cell r="E28">
            <v>5063</v>
          </cell>
        </row>
        <row r="31">
          <cell r="E31">
            <v>177</v>
          </cell>
        </row>
        <row r="35">
          <cell r="E35">
            <v>487</v>
          </cell>
        </row>
        <row r="36">
          <cell r="E36">
            <v>9141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38199</v>
          </cell>
        </row>
        <row r="28">
          <cell r="E28">
            <v>65375</v>
          </cell>
        </row>
        <row r="31">
          <cell r="E31">
            <v>975</v>
          </cell>
        </row>
        <row r="35">
          <cell r="E35">
            <v>4836</v>
          </cell>
        </row>
        <row r="36">
          <cell r="E36">
            <v>109385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3410</v>
          </cell>
        </row>
        <row r="28">
          <cell r="E28">
            <v>6184</v>
          </cell>
        </row>
        <row r="31">
          <cell r="E31">
            <v>306</v>
          </cell>
        </row>
        <row r="35">
          <cell r="E35">
            <v>446</v>
          </cell>
        </row>
        <row r="36">
          <cell r="E36">
            <v>10346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31492</v>
          </cell>
        </row>
        <row r="28">
          <cell r="E28">
            <v>34393</v>
          </cell>
        </row>
        <row r="31">
          <cell r="E31">
            <v>1526</v>
          </cell>
        </row>
        <row r="35">
          <cell r="E35">
            <v>3593</v>
          </cell>
        </row>
        <row r="36">
          <cell r="E36">
            <v>71004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128843</v>
          </cell>
        </row>
        <row r="28">
          <cell r="E28">
            <v>167728</v>
          </cell>
        </row>
        <row r="31">
          <cell r="E31">
            <v>8079</v>
          </cell>
        </row>
        <row r="35">
          <cell r="E35">
            <v>18691</v>
          </cell>
        </row>
        <row r="36">
          <cell r="E36">
            <v>323341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28602</v>
          </cell>
        </row>
        <row r="28">
          <cell r="E28">
            <v>37832</v>
          </cell>
        </row>
        <row r="31">
          <cell r="E31">
            <v>1162</v>
          </cell>
        </row>
        <row r="35">
          <cell r="E35">
            <v>3829</v>
          </cell>
        </row>
        <row r="36">
          <cell r="E36">
            <v>71425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25535</v>
          </cell>
        </row>
        <row r="28">
          <cell r="E28">
            <v>23879</v>
          </cell>
        </row>
        <row r="31">
          <cell r="E31">
            <v>1173</v>
          </cell>
        </row>
        <row r="35">
          <cell r="E35">
            <v>4347</v>
          </cell>
        </row>
        <row r="36">
          <cell r="E36">
            <v>54934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7449</v>
          </cell>
        </row>
        <row r="28">
          <cell r="E28">
            <v>9116</v>
          </cell>
        </row>
        <row r="31">
          <cell r="E31">
            <v>323</v>
          </cell>
        </row>
        <row r="35">
          <cell r="E35">
            <v>1036</v>
          </cell>
        </row>
        <row r="36">
          <cell r="E36">
            <v>17924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41192</v>
          </cell>
        </row>
        <row r="28">
          <cell r="E28">
            <v>60079</v>
          </cell>
        </row>
        <row r="31">
          <cell r="E31">
            <v>2232</v>
          </cell>
        </row>
        <row r="35">
          <cell r="E35">
            <v>6435</v>
          </cell>
        </row>
        <row r="36">
          <cell r="E36">
            <v>109938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3324</v>
          </cell>
        </row>
        <row r="40">
          <cell r="E40">
            <v>8990</v>
          </cell>
        </row>
        <row r="47">
          <cell r="E47">
            <v>1931</v>
          </cell>
        </row>
        <row r="54">
          <cell r="E54">
            <v>415</v>
          </cell>
        </row>
        <row r="61">
          <cell r="E61">
            <v>14660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3142</v>
          </cell>
        </row>
        <row r="40">
          <cell r="E40">
            <v>8528</v>
          </cell>
        </row>
        <row r="47">
          <cell r="E47">
            <v>1278</v>
          </cell>
        </row>
        <row r="54">
          <cell r="E54">
            <v>577</v>
          </cell>
        </row>
        <row r="61">
          <cell r="E61">
            <v>13525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2227531</v>
          </cell>
        </row>
        <row r="39">
          <cell r="E39">
            <v>3151698</v>
          </cell>
        </row>
        <row r="46">
          <cell r="E46">
            <v>208724</v>
          </cell>
        </row>
        <row r="53">
          <cell r="E53">
            <v>405946</v>
          </cell>
        </row>
        <row r="60">
          <cell r="E60">
            <v>5994102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15494</v>
          </cell>
        </row>
        <row r="28">
          <cell r="E28">
            <v>17196</v>
          </cell>
        </row>
        <row r="31">
          <cell r="E31">
            <v>820</v>
          </cell>
        </row>
        <row r="35">
          <cell r="E35">
            <v>2728</v>
          </cell>
        </row>
        <row r="36">
          <cell r="E36">
            <v>36238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81630</v>
          </cell>
        </row>
        <row r="28">
          <cell r="E28">
            <v>117469</v>
          </cell>
        </row>
        <row r="31">
          <cell r="E31">
            <v>4748</v>
          </cell>
        </row>
        <row r="35">
          <cell r="E35">
            <v>10050</v>
          </cell>
        </row>
        <row r="36">
          <cell r="E36">
            <v>213897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31072</v>
          </cell>
        </row>
        <row r="28">
          <cell r="E28">
            <v>51621</v>
          </cell>
        </row>
        <row r="31">
          <cell r="E31">
            <v>2598</v>
          </cell>
        </row>
        <row r="35">
          <cell r="E35">
            <v>5453</v>
          </cell>
        </row>
        <row r="36">
          <cell r="E36">
            <v>90744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12063</v>
          </cell>
        </row>
        <row r="28">
          <cell r="E28">
            <v>12200</v>
          </cell>
        </row>
        <row r="31">
          <cell r="E31">
            <v>3643</v>
          </cell>
        </row>
        <row r="35">
          <cell r="E35">
            <v>3168</v>
          </cell>
        </row>
        <row r="36">
          <cell r="E36">
            <v>31074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26059</v>
          </cell>
        </row>
        <row r="28">
          <cell r="E28">
            <v>22552</v>
          </cell>
        </row>
        <row r="31">
          <cell r="E31">
            <v>750</v>
          </cell>
        </row>
        <row r="35">
          <cell r="E35">
            <v>3997</v>
          </cell>
        </row>
        <row r="36">
          <cell r="E36">
            <v>53358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53069</v>
          </cell>
        </row>
        <row r="28">
          <cell r="E28">
            <v>56283</v>
          </cell>
        </row>
        <row r="31">
          <cell r="E31">
            <v>2774</v>
          </cell>
        </row>
        <row r="35">
          <cell r="E35">
            <v>11386</v>
          </cell>
        </row>
        <row r="36">
          <cell r="E36">
            <v>123512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6429</v>
          </cell>
        </row>
        <row r="28">
          <cell r="E28">
            <v>7967</v>
          </cell>
        </row>
        <row r="31">
          <cell r="E31">
            <v>267</v>
          </cell>
        </row>
        <row r="35">
          <cell r="E35">
            <v>644</v>
          </cell>
        </row>
        <row r="36">
          <cell r="E36">
            <v>15307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27594</v>
          </cell>
        </row>
        <row r="28">
          <cell r="E28">
            <v>37786</v>
          </cell>
        </row>
        <row r="31">
          <cell r="E31">
            <v>1107</v>
          </cell>
        </row>
        <row r="35">
          <cell r="E35">
            <v>3329</v>
          </cell>
        </row>
        <row r="36">
          <cell r="E36">
            <v>69816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52123</v>
          </cell>
        </row>
        <row r="28">
          <cell r="E28">
            <v>85448</v>
          </cell>
        </row>
        <row r="31">
          <cell r="E31">
            <v>1944</v>
          </cell>
        </row>
        <row r="35">
          <cell r="E35">
            <v>6334</v>
          </cell>
        </row>
        <row r="36">
          <cell r="E36">
            <v>145849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246682</v>
          </cell>
        </row>
        <row r="28">
          <cell r="E28">
            <v>323053</v>
          </cell>
        </row>
        <row r="31">
          <cell r="E31">
            <v>7909</v>
          </cell>
        </row>
        <row r="35">
          <cell r="E35">
            <v>40620</v>
          </cell>
        </row>
        <row r="36">
          <cell r="E36">
            <v>618264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45199</v>
          </cell>
        </row>
        <row r="28">
          <cell r="E28">
            <v>43511</v>
          </cell>
        </row>
        <row r="31">
          <cell r="E31">
            <v>6054</v>
          </cell>
        </row>
        <row r="35">
          <cell r="E35">
            <v>11319</v>
          </cell>
        </row>
        <row r="36">
          <cell r="E36">
            <v>106083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15824</v>
          </cell>
        </row>
        <row r="28">
          <cell r="E28">
            <v>18840</v>
          </cell>
        </row>
        <row r="31">
          <cell r="E31">
            <v>728</v>
          </cell>
        </row>
        <row r="35">
          <cell r="E35">
            <v>2777</v>
          </cell>
        </row>
        <row r="36">
          <cell r="E36">
            <v>38169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16050</v>
          </cell>
        </row>
        <row r="28">
          <cell r="E28">
            <v>18897</v>
          </cell>
        </row>
        <row r="31">
          <cell r="E31">
            <v>640</v>
          </cell>
        </row>
        <row r="35">
          <cell r="E35">
            <v>1720</v>
          </cell>
        </row>
        <row r="36">
          <cell r="E36">
            <v>37307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56834</v>
          </cell>
        </row>
        <row r="28">
          <cell r="E28">
            <v>90379</v>
          </cell>
        </row>
        <row r="31">
          <cell r="E31">
            <v>6769</v>
          </cell>
        </row>
        <row r="35">
          <cell r="E35">
            <v>8133</v>
          </cell>
        </row>
        <row r="36">
          <cell r="E36">
            <v>162115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31767</v>
          </cell>
        </row>
        <row r="28">
          <cell r="E28">
            <v>33130</v>
          </cell>
        </row>
        <row r="31">
          <cell r="E31">
            <v>1118</v>
          </cell>
        </row>
        <row r="35">
          <cell r="E35">
            <v>4664</v>
          </cell>
        </row>
        <row r="36">
          <cell r="E36">
            <v>70679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27895</v>
          </cell>
        </row>
        <row r="28">
          <cell r="E28">
            <v>29263</v>
          </cell>
        </row>
        <row r="31">
          <cell r="E31">
            <v>528</v>
          </cell>
        </row>
        <row r="35">
          <cell r="E35">
            <v>1858</v>
          </cell>
        </row>
        <row r="36">
          <cell r="E36">
            <v>59544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23023</v>
          </cell>
        </row>
        <row r="28">
          <cell r="E28">
            <v>33113</v>
          </cell>
        </row>
        <row r="31">
          <cell r="E31">
            <v>2007</v>
          </cell>
        </row>
        <row r="35">
          <cell r="E35">
            <v>3749</v>
          </cell>
        </row>
        <row r="36">
          <cell r="E36">
            <v>61892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18517</v>
          </cell>
        </row>
        <row r="28">
          <cell r="E28">
            <v>29705</v>
          </cell>
        </row>
        <row r="31">
          <cell r="E31">
            <v>798</v>
          </cell>
        </row>
        <row r="35">
          <cell r="E35">
            <v>2806</v>
          </cell>
        </row>
        <row r="36">
          <cell r="E36">
            <v>51826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28695</v>
          </cell>
        </row>
        <row r="28">
          <cell r="E28">
            <v>58076</v>
          </cell>
        </row>
        <row r="31">
          <cell r="E31">
            <v>2644</v>
          </cell>
        </row>
        <row r="35">
          <cell r="E35">
            <v>4746</v>
          </cell>
        </row>
        <row r="36">
          <cell r="E36">
            <v>94161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48470</v>
          </cell>
        </row>
        <row r="28">
          <cell r="E28">
            <v>53605</v>
          </cell>
        </row>
        <row r="31">
          <cell r="E31">
            <v>2408</v>
          </cell>
        </row>
        <row r="35">
          <cell r="E35">
            <v>11018</v>
          </cell>
        </row>
        <row r="36">
          <cell r="E36">
            <v>115501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6741</v>
          </cell>
        </row>
        <row r="28">
          <cell r="E28">
            <v>10502</v>
          </cell>
        </row>
        <row r="31">
          <cell r="E31">
            <v>611</v>
          </cell>
        </row>
        <row r="35">
          <cell r="E35">
            <v>1077</v>
          </cell>
        </row>
        <row r="36">
          <cell r="E36">
            <v>18931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18062</v>
          </cell>
        </row>
        <row r="28">
          <cell r="E28">
            <v>29431</v>
          </cell>
        </row>
        <row r="31">
          <cell r="E31">
            <v>2691</v>
          </cell>
        </row>
        <row r="35">
          <cell r="E35">
            <v>4303</v>
          </cell>
        </row>
        <row r="36">
          <cell r="E36">
            <v>54487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29348</v>
          </cell>
        </row>
        <row r="28">
          <cell r="E28">
            <v>48401</v>
          </cell>
        </row>
        <row r="31">
          <cell r="E31">
            <v>1168</v>
          </cell>
        </row>
        <row r="35">
          <cell r="E35">
            <v>3857</v>
          </cell>
        </row>
        <row r="36">
          <cell r="E36">
            <v>82774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42111</v>
          </cell>
        </row>
        <row r="28">
          <cell r="E28">
            <v>93514</v>
          </cell>
        </row>
        <row r="31">
          <cell r="E31">
            <v>2316</v>
          </cell>
        </row>
        <row r="35">
          <cell r="E35">
            <v>8237</v>
          </cell>
        </row>
        <row r="36">
          <cell r="E36">
            <v>146178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10331</v>
          </cell>
        </row>
        <row r="28">
          <cell r="E28">
            <v>11827</v>
          </cell>
        </row>
        <row r="31">
          <cell r="E31">
            <v>509</v>
          </cell>
        </row>
        <row r="35">
          <cell r="E35">
            <v>1768</v>
          </cell>
        </row>
        <row r="36">
          <cell r="E36">
            <v>24435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23589</v>
          </cell>
        </row>
        <row r="28">
          <cell r="E28">
            <v>39697</v>
          </cell>
        </row>
        <row r="31">
          <cell r="E31">
            <v>2437</v>
          </cell>
        </row>
        <row r="35">
          <cell r="E35">
            <v>3388</v>
          </cell>
        </row>
        <row r="36">
          <cell r="E36">
            <v>69111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18313</v>
          </cell>
        </row>
        <row r="28">
          <cell r="E28">
            <v>14191</v>
          </cell>
        </row>
        <row r="31">
          <cell r="E31">
            <v>770</v>
          </cell>
        </row>
        <row r="35">
          <cell r="E35">
            <v>3336</v>
          </cell>
        </row>
        <row r="36">
          <cell r="E36">
            <v>36610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8381</v>
          </cell>
        </row>
        <row r="28">
          <cell r="E28">
            <v>11664</v>
          </cell>
        </row>
        <row r="31">
          <cell r="E31">
            <v>493</v>
          </cell>
        </row>
        <row r="35">
          <cell r="E35">
            <v>866</v>
          </cell>
        </row>
        <row r="36">
          <cell r="E36">
            <v>21404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25973</v>
          </cell>
        </row>
        <row r="28">
          <cell r="E28">
            <v>42203</v>
          </cell>
        </row>
        <row r="31">
          <cell r="E31">
            <v>2879</v>
          </cell>
        </row>
        <row r="35">
          <cell r="E35">
            <v>3038</v>
          </cell>
        </row>
        <row r="36">
          <cell r="E36">
            <v>74093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20422</v>
          </cell>
        </row>
        <row r="28">
          <cell r="E28">
            <v>22598</v>
          </cell>
        </row>
        <row r="31">
          <cell r="E31">
            <v>1424</v>
          </cell>
        </row>
        <row r="35">
          <cell r="E35">
            <v>4688</v>
          </cell>
        </row>
        <row r="36">
          <cell r="E36">
            <v>49132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16688</v>
          </cell>
        </row>
        <row r="28">
          <cell r="E28">
            <v>22582</v>
          </cell>
        </row>
        <row r="31">
          <cell r="E31">
            <v>582</v>
          </cell>
        </row>
        <row r="35">
          <cell r="E35">
            <v>1726</v>
          </cell>
        </row>
        <row r="36">
          <cell r="E36">
            <v>41578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13213</v>
          </cell>
        </row>
        <row r="28">
          <cell r="E28">
            <v>16709</v>
          </cell>
        </row>
        <row r="31">
          <cell r="E31">
            <v>728</v>
          </cell>
        </row>
        <row r="35">
          <cell r="E35">
            <v>3078</v>
          </cell>
        </row>
        <row r="36">
          <cell r="E36">
            <v>33728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291003</v>
          </cell>
        </row>
        <row r="28">
          <cell r="E28">
            <v>390810</v>
          </cell>
        </row>
        <row r="31">
          <cell r="E31">
            <v>16153</v>
          </cell>
        </row>
        <row r="35">
          <cell r="E35">
            <v>58845</v>
          </cell>
        </row>
        <row r="36">
          <cell r="E36">
            <v>756811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81845</v>
          </cell>
        </row>
        <row r="28">
          <cell r="E28">
            <v>179614</v>
          </cell>
        </row>
        <row r="31">
          <cell r="E31">
            <v>5654</v>
          </cell>
        </row>
        <row r="35">
          <cell r="E35">
            <v>13692</v>
          </cell>
        </row>
        <row r="36">
          <cell r="E36">
            <v>280805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63241</v>
          </cell>
        </row>
        <row r="28">
          <cell r="E28">
            <v>101256</v>
          </cell>
        </row>
        <row r="31">
          <cell r="E31">
            <v>4004</v>
          </cell>
        </row>
        <row r="35">
          <cell r="E35">
            <v>9802</v>
          </cell>
        </row>
        <row r="36">
          <cell r="E36">
            <v>178303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19229</v>
          </cell>
        </row>
        <row r="28">
          <cell r="E28">
            <v>33208</v>
          </cell>
        </row>
        <row r="31">
          <cell r="E31">
            <v>1167</v>
          </cell>
        </row>
        <row r="35">
          <cell r="E35">
            <v>3508</v>
          </cell>
        </row>
        <row r="36">
          <cell r="E36">
            <v>57112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13351</v>
          </cell>
        </row>
        <row r="28">
          <cell r="E28">
            <v>14709</v>
          </cell>
        </row>
        <row r="31">
          <cell r="E31">
            <v>636</v>
          </cell>
        </row>
        <row r="35">
          <cell r="E35">
            <v>3702</v>
          </cell>
        </row>
        <row r="36">
          <cell r="E36">
            <v>32398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40598</v>
          </cell>
        </row>
        <row r="28">
          <cell r="E28">
            <v>49039</v>
          </cell>
        </row>
        <row r="31">
          <cell r="E31">
            <v>2129</v>
          </cell>
        </row>
        <row r="35">
          <cell r="E35">
            <v>6897</v>
          </cell>
        </row>
        <row r="36">
          <cell r="E36">
            <v>98663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462778</v>
          </cell>
        </row>
        <row r="28">
          <cell r="E28">
            <v>381492</v>
          </cell>
        </row>
        <row r="31">
          <cell r="E31">
            <v>31304</v>
          </cell>
        </row>
        <row r="35">
          <cell r="E35">
            <v>58199</v>
          </cell>
        </row>
        <row r="36">
          <cell r="E36">
            <v>933773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8377</v>
          </cell>
        </row>
        <row r="28">
          <cell r="E28">
            <v>9509</v>
          </cell>
        </row>
        <row r="31">
          <cell r="E31">
            <v>296</v>
          </cell>
        </row>
        <row r="35">
          <cell r="E35">
            <v>1214</v>
          </cell>
        </row>
        <row r="36">
          <cell r="E36">
            <v>19396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60704</v>
          </cell>
        </row>
        <row r="28">
          <cell r="E28">
            <v>116300</v>
          </cell>
        </row>
        <row r="31">
          <cell r="E31">
            <v>2411</v>
          </cell>
        </row>
        <row r="35">
          <cell r="E35">
            <v>13085</v>
          </cell>
        </row>
        <row r="36">
          <cell r="E36">
            <v>192500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46577</v>
          </cell>
        </row>
        <row r="28">
          <cell r="E28">
            <v>57928</v>
          </cell>
        </row>
        <row r="31">
          <cell r="E31">
            <v>2037</v>
          </cell>
        </row>
        <row r="35">
          <cell r="E35">
            <v>7993</v>
          </cell>
        </row>
        <row r="36">
          <cell r="E36">
            <v>114535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11800</v>
          </cell>
        </row>
        <row r="28">
          <cell r="E28">
            <v>11453</v>
          </cell>
        </row>
        <row r="31">
          <cell r="E31">
            <v>907</v>
          </cell>
        </row>
        <row r="35">
          <cell r="E35">
            <v>1967</v>
          </cell>
        </row>
        <row r="36">
          <cell r="E36">
            <v>26127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13750</v>
          </cell>
        </row>
        <row r="28">
          <cell r="E28">
            <v>15352</v>
          </cell>
        </row>
        <row r="31">
          <cell r="E31">
            <v>539</v>
          </cell>
        </row>
        <row r="35">
          <cell r="E35">
            <v>1733</v>
          </cell>
        </row>
        <row r="36">
          <cell r="E36">
            <v>31374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46361</v>
          </cell>
        </row>
        <row r="28">
          <cell r="E28">
            <v>80326</v>
          </cell>
        </row>
        <row r="31">
          <cell r="E31">
            <v>2109</v>
          </cell>
        </row>
        <row r="35">
          <cell r="E35">
            <v>7606</v>
          </cell>
        </row>
        <row r="36">
          <cell r="E36">
            <v>136402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5771</v>
          </cell>
        </row>
        <row r="28">
          <cell r="E28">
            <v>8711</v>
          </cell>
        </row>
        <row r="31">
          <cell r="E31">
            <v>390</v>
          </cell>
        </row>
        <row r="35">
          <cell r="E35">
            <v>775</v>
          </cell>
        </row>
        <row r="36">
          <cell r="E36">
            <v>15647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87254</v>
          </cell>
        </row>
        <row r="28">
          <cell r="E28">
            <v>143691</v>
          </cell>
        </row>
        <row r="31">
          <cell r="E31">
            <v>6171</v>
          </cell>
        </row>
        <row r="35">
          <cell r="E35">
            <v>13029</v>
          </cell>
        </row>
        <row r="36">
          <cell r="E36">
            <v>250145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3284</v>
          </cell>
        </row>
        <row r="28">
          <cell r="E28">
            <v>4821</v>
          </cell>
        </row>
        <row r="31">
          <cell r="E31">
            <v>156</v>
          </cell>
        </row>
        <row r="35">
          <cell r="E35">
            <v>388</v>
          </cell>
        </row>
        <row r="36">
          <cell r="E36">
            <v>8649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36129</v>
          </cell>
        </row>
        <row r="28">
          <cell r="E28">
            <v>65897</v>
          </cell>
        </row>
        <row r="31">
          <cell r="E31">
            <v>1009</v>
          </cell>
        </row>
        <row r="35">
          <cell r="E35">
            <v>4450</v>
          </cell>
        </row>
        <row r="36">
          <cell r="E36">
            <v>107485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103956</v>
          </cell>
        </row>
        <row r="28">
          <cell r="E28">
            <v>192028</v>
          </cell>
        </row>
        <row r="31">
          <cell r="E31">
            <v>3605</v>
          </cell>
        </row>
        <row r="35">
          <cell r="E35">
            <v>14356</v>
          </cell>
        </row>
        <row r="36">
          <cell r="E36">
            <v>313945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3010</v>
          </cell>
        </row>
        <row r="28">
          <cell r="E28">
            <v>6090</v>
          </cell>
        </row>
        <row r="31">
          <cell r="E31">
            <v>196</v>
          </cell>
        </row>
        <row r="35">
          <cell r="E35">
            <v>371</v>
          </cell>
        </row>
        <row r="36">
          <cell r="E36">
            <v>9667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27384</v>
          </cell>
        </row>
        <row r="28">
          <cell r="E28">
            <v>34387</v>
          </cell>
        </row>
        <row r="31">
          <cell r="E31">
            <v>1363</v>
          </cell>
        </row>
        <row r="35">
          <cell r="E35">
            <v>3232</v>
          </cell>
        </row>
        <row r="36">
          <cell r="E36">
            <v>66366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117571</v>
          </cell>
        </row>
        <row r="28">
          <cell r="E28">
            <v>165388</v>
          </cell>
        </row>
        <row r="31">
          <cell r="E31">
            <v>7317</v>
          </cell>
        </row>
        <row r="35">
          <cell r="E35">
            <v>17202</v>
          </cell>
        </row>
        <row r="36">
          <cell r="E36">
            <v>307478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24480</v>
          </cell>
        </row>
        <row r="28">
          <cell r="E28">
            <v>23827</v>
          </cell>
        </row>
        <row r="31">
          <cell r="E31">
            <v>1073</v>
          </cell>
        </row>
        <row r="35">
          <cell r="E35">
            <v>4176</v>
          </cell>
        </row>
        <row r="36">
          <cell r="E36">
            <v>53556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7786</v>
          </cell>
        </row>
        <row r="28">
          <cell r="E28">
            <v>9149</v>
          </cell>
        </row>
        <row r="31">
          <cell r="E31">
            <v>356</v>
          </cell>
        </row>
        <row r="35">
          <cell r="E35">
            <v>1229</v>
          </cell>
        </row>
        <row r="36">
          <cell r="E36">
            <v>18520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40164</v>
          </cell>
        </row>
        <row r="28">
          <cell r="E28">
            <v>60516</v>
          </cell>
        </row>
        <row r="31">
          <cell r="E31">
            <v>2013</v>
          </cell>
        </row>
        <row r="35">
          <cell r="E35">
            <v>6466</v>
          </cell>
        </row>
        <row r="36">
          <cell r="E36">
            <v>109159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3668</v>
          </cell>
        </row>
        <row r="40">
          <cell r="E40">
            <v>9878</v>
          </cell>
        </row>
        <row r="47">
          <cell r="E47">
            <v>1462</v>
          </cell>
        </row>
        <row r="54">
          <cell r="E54">
            <v>625</v>
          </cell>
        </row>
        <row r="61">
          <cell r="E61">
            <v>15633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2940</v>
          </cell>
        </row>
        <row r="40">
          <cell r="E40">
            <v>8136</v>
          </cell>
        </row>
        <row r="47">
          <cell r="E47">
            <v>1178</v>
          </cell>
        </row>
        <row r="54">
          <cell r="E54">
            <v>582</v>
          </cell>
        </row>
        <row r="61">
          <cell r="E61">
            <v>12836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2041667</v>
          </cell>
        </row>
        <row r="39">
          <cell r="E39">
            <v>3233197</v>
          </cell>
        </row>
        <row r="46">
          <cell r="E46">
            <v>195938</v>
          </cell>
        </row>
        <row r="53">
          <cell r="E53">
            <v>404860</v>
          </cell>
        </row>
        <row r="60">
          <cell r="E60">
            <v>5875887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14643</v>
          </cell>
        </row>
        <row r="28">
          <cell r="E28">
            <v>18496</v>
          </cell>
        </row>
        <row r="31">
          <cell r="E31">
            <v>772</v>
          </cell>
        </row>
        <row r="35">
          <cell r="E35">
            <v>2621</v>
          </cell>
        </row>
        <row r="36">
          <cell r="E36">
            <v>36532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89735</v>
          </cell>
        </row>
        <row r="28">
          <cell r="E28">
            <v>105815</v>
          </cell>
        </row>
        <row r="31">
          <cell r="E31">
            <v>4501</v>
          </cell>
        </row>
        <row r="35">
          <cell r="E35">
            <v>10684</v>
          </cell>
        </row>
        <row r="36">
          <cell r="E36">
            <v>210735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79042</v>
          </cell>
        </row>
        <row r="28">
          <cell r="E28">
            <v>121881</v>
          </cell>
        </row>
        <row r="31">
          <cell r="E31">
            <v>3548</v>
          </cell>
        </row>
        <row r="35">
          <cell r="E35">
            <v>10042</v>
          </cell>
        </row>
        <row r="36">
          <cell r="E36">
            <v>214513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27865</v>
          </cell>
        </row>
        <row r="28">
          <cell r="E28">
            <v>55064</v>
          </cell>
        </row>
        <row r="31">
          <cell r="E31">
            <v>3455</v>
          </cell>
        </row>
        <row r="35">
          <cell r="E35">
            <v>4579</v>
          </cell>
        </row>
        <row r="36">
          <cell r="E36">
            <v>90963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11300</v>
          </cell>
        </row>
        <row r="28">
          <cell r="E28">
            <v>12216</v>
          </cell>
        </row>
        <row r="31">
          <cell r="E31">
            <v>1313</v>
          </cell>
        </row>
        <row r="35">
          <cell r="E35">
            <v>2747</v>
          </cell>
        </row>
        <row r="36">
          <cell r="E36">
            <v>27576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46958</v>
          </cell>
        </row>
        <row r="28">
          <cell r="E28">
            <v>59330</v>
          </cell>
        </row>
        <row r="31">
          <cell r="E31">
            <v>2343</v>
          </cell>
        </row>
        <row r="35">
          <cell r="E35">
            <v>10543</v>
          </cell>
        </row>
        <row r="36">
          <cell r="E36">
            <v>119174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7033</v>
          </cell>
        </row>
        <row r="28">
          <cell r="E28">
            <v>8551</v>
          </cell>
        </row>
        <row r="31">
          <cell r="E31">
            <v>213</v>
          </cell>
        </row>
        <row r="35">
          <cell r="E35">
            <v>577</v>
          </cell>
        </row>
        <row r="36">
          <cell r="E36">
            <v>16374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22983</v>
          </cell>
        </row>
        <row r="28">
          <cell r="E28">
            <v>40047</v>
          </cell>
        </row>
        <row r="31">
          <cell r="E31">
            <v>1064</v>
          </cell>
        </row>
        <row r="35">
          <cell r="E35">
            <v>3163</v>
          </cell>
        </row>
        <row r="36">
          <cell r="E36">
            <v>67257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48114</v>
          </cell>
        </row>
        <row r="28">
          <cell r="E28">
            <v>85161</v>
          </cell>
        </row>
        <row r="31">
          <cell r="E31">
            <v>1956</v>
          </cell>
        </row>
        <row r="35">
          <cell r="E35">
            <v>6105</v>
          </cell>
        </row>
        <row r="36">
          <cell r="E36">
            <v>141336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215039</v>
          </cell>
        </row>
        <row r="28">
          <cell r="E28">
            <v>323507</v>
          </cell>
        </row>
        <row r="31">
          <cell r="E31">
            <v>8161</v>
          </cell>
        </row>
        <row r="35">
          <cell r="E35">
            <v>40441</v>
          </cell>
        </row>
        <row r="36">
          <cell r="E36">
            <v>587148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39091</v>
          </cell>
        </row>
        <row r="28">
          <cell r="E28">
            <v>44591</v>
          </cell>
        </row>
        <row r="31">
          <cell r="E31">
            <v>2745</v>
          </cell>
        </row>
        <row r="35">
          <cell r="E35">
            <v>10145</v>
          </cell>
        </row>
        <row r="36">
          <cell r="E36">
            <v>96572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14708</v>
          </cell>
        </row>
        <row r="28">
          <cell r="E28">
            <v>19813</v>
          </cell>
        </row>
        <row r="31">
          <cell r="E31">
            <v>790</v>
          </cell>
        </row>
        <row r="35">
          <cell r="E35">
            <v>2396</v>
          </cell>
        </row>
        <row r="36">
          <cell r="E36">
            <v>37707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27143</v>
          </cell>
        </row>
        <row r="28">
          <cell r="E28">
            <v>38413</v>
          </cell>
        </row>
        <row r="31">
          <cell r="E31">
            <v>1274</v>
          </cell>
        </row>
        <row r="35">
          <cell r="E35">
            <v>4799</v>
          </cell>
        </row>
        <row r="36">
          <cell r="E36">
            <v>71629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14972</v>
          </cell>
        </row>
        <row r="28">
          <cell r="E28">
            <v>20062</v>
          </cell>
        </row>
        <row r="31">
          <cell r="E31">
            <v>654</v>
          </cell>
        </row>
        <row r="35">
          <cell r="E35">
            <v>1548</v>
          </cell>
        </row>
        <row r="36">
          <cell r="E36">
            <v>37236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49292</v>
          </cell>
        </row>
        <row r="28">
          <cell r="E28">
            <v>100638</v>
          </cell>
        </row>
        <row r="31">
          <cell r="E31">
            <v>7519</v>
          </cell>
        </row>
        <row r="35">
          <cell r="E35">
            <v>7724</v>
          </cell>
        </row>
        <row r="36">
          <cell r="E36">
            <v>165173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28490</v>
          </cell>
        </row>
        <row r="28">
          <cell r="E28">
            <v>33941</v>
          </cell>
        </row>
        <row r="31">
          <cell r="E31">
            <v>1102</v>
          </cell>
        </row>
        <row r="35">
          <cell r="E35">
            <v>4599</v>
          </cell>
        </row>
        <row r="36">
          <cell r="E36">
            <v>68132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24647</v>
          </cell>
        </row>
        <row r="28">
          <cell r="E28">
            <v>35080</v>
          </cell>
        </row>
        <row r="31">
          <cell r="E31">
            <v>1430</v>
          </cell>
        </row>
        <row r="35">
          <cell r="E35">
            <v>3873</v>
          </cell>
        </row>
        <row r="36">
          <cell r="E36">
            <v>65030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17617</v>
          </cell>
        </row>
        <row r="28">
          <cell r="E28">
            <v>31646</v>
          </cell>
        </row>
        <row r="31">
          <cell r="E31">
            <v>799</v>
          </cell>
        </row>
        <row r="35">
          <cell r="E35">
            <v>2810</v>
          </cell>
        </row>
        <row r="36">
          <cell r="E36">
            <v>52872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27000</v>
          </cell>
        </row>
        <row r="28">
          <cell r="E28">
            <v>60111</v>
          </cell>
        </row>
        <row r="31">
          <cell r="E31">
            <v>3253</v>
          </cell>
        </row>
        <row r="35">
          <cell r="E35">
            <v>4026</v>
          </cell>
        </row>
        <row r="36">
          <cell r="E36">
            <v>94390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45366</v>
          </cell>
        </row>
        <row r="28">
          <cell r="E28">
            <v>57716</v>
          </cell>
        </row>
        <row r="31">
          <cell r="E31">
            <v>3000</v>
          </cell>
        </row>
        <row r="35">
          <cell r="E35">
            <v>10569</v>
          </cell>
        </row>
        <row r="36">
          <cell r="E36">
            <v>116651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6189</v>
          </cell>
        </row>
        <row r="28">
          <cell r="E28">
            <v>10424</v>
          </cell>
        </row>
        <row r="31">
          <cell r="E31">
            <v>537</v>
          </cell>
        </row>
        <row r="35">
          <cell r="E35">
            <v>959</v>
          </cell>
        </row>
        <row r="36">
          <cell r="E36">
            <v>18109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17376</v>
          </cell>
        </row>
        <row r="28">
          <cell r="E28">
            <v>29834</v>
          </cell>
        </row>
        <row r="31">
          <cell r="E31">
            <v>1501</v>
          </cell>
        </row>
        <row r="35">
          <cell r="E35">
            <v>4144</v>
          </cell>
        </row>
        <row r="36">
          <cell r="E36">
            <v>52855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25215</v>
          </cell>
        </row>
        <row r="28">
          <cell r="E28">
            <v>47442</v>
          </cell>
        </row>
        <row r="31">
          <cell r="E31">
            <v>1216</v>
          </cell>
        </row>
        <row r="35">
          <cell r="E35">
            <v>3325</v>
          </cell>
        </row>
        <row r="36">
          <cell r="E36">
            <v>77198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16476</v>
          </cell>
        </row>
        <row r="28">
          <cell r="E28">
            <v>12970</v>
          </cell>
        </row>
        <row r="31">
          <cell r="E31">
            <v>669</v>
          </cell>
        </row>
        <row r="35">
          <cell r="E35">
            <v>3553</v>
          </cell>
        </row>
        <row r="36">
          <cell r="E36">
            <v>33668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38728</v>
          </cell>
        </row>
        <row r="28">
          <cell r="E28">
            <v>96310</v>
          </cell>
        </row>
        <row r="31">
          <cell r="E31">
            <v>3738</v>
          </cell>
        </row>
        <row r="35">
          <cell r="E35">
            <v>7778</v>
          </cell>
        </row>
        <row r="36">
          <cell r="E36">
            <v>146554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8407</v>
          </cell>
        </row>
        <row r="28">
          <cell r="E28">
            <v>13168</v>
          </cell>
        </row>
        <row r="31">
          <cell r="E31">
            <v>545</v>
          </cell>
        </row>
        <row r="35">
          <cell r="E35">
            <v>1780</v>
          </cell>
        </row>
        <row r="36">
          <cell r="E36">
            <v>23900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19268</v>
          </cell>
        </row>
        <row r="28">
          <cell r="E28">
            <v>42931</v>
          </cell>
        </row>
        <row r="31">
          <cell r="E31">
            <v>2490</v>
          </cell>
        </row>
        <row r="35">
          <cell r="E35">
            <v>3694</v>
          </cell>
        </row>
        <row r="36">
          <cell r="E36">
            <v>68383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7153</v>
          </cell>
        </row>
        <row r="28">
          <cell r="E28">
            <v>12097</v>
          </cell>
        </row>
        <row r="31">
          <cell r="E31">
            <v>582</v>
          </cell>
        </row>
        <row r="35">
          <cell r="E35">
            <v>739</v>
          </cell>
        </row>
        <row r="36">
          <cell r="E36">
            <v>20571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21339</v>
          </cell>
        </row>
        <row r="28">
          <cell r="E28">
            <v>46839</v>
          </cell>
        </row>
        <row r="31">
          <cell r="E31">
            <v>4591</v>
          </cell>
        </row>
        <row r="35">
          <cell r="E35">
            <v>2700</v>
          </cell>
        </row>
        <row r="36">
          <cell r="E36">
            <v>75469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21595</v>
          </cell>
        </row>
        <row r="28">
          <cell r="E28">
            <v>25170</v>
          </cell>
        </row>
        <row r="31">
          <cell r="E31">
            <v>966</v>
          </cell>
        </row>
        <row r="35">
          <cell r="E35">
            <v>4402</v>
          </cell>
        </row>
        <row r="36">
          <cell r="E36">
            <v>52133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14112</v>
          </cell>
        </row>
        <row r="28">
          <cell r="E28">
            <v>23408</v>
          </cell>
        </row>
        <row r="31">
          <cell r="E31">
            <v>558</v>
          </cell>
        </row>
        <row r="35">
          <cell r="E35">
            <v>1681</v>
          </cell>
        </row>
        <row r="36">
          <cell r="E36">
            <v>39759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12843</v>
          </cell>
        </row>
        <row r="28">
          <cell r="E28">
            <v>18932</v>
          </cell>
        </row>
        <row r="31">
          <cell r="E31">
            <v>963</v>
          </cell>
        </row>
        <row r="35">
          <cell r="E35">
            <v>3022</v>
          </cell>
        </row>
        <row r="36">
          <cell r="E36">
            <v>35760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271339</v>
          </cell>
        </row>
        <row r="28">
          <cell r="E28">
            <v>421140</v>
          </cell>
        </row>
        <row r="31">
          <cell r="E31">
            <v>15983</v>
          </cell>
        </row>
        <row r="35">
          <cell r="E35">
            <v>52343</v>
          </cell>
        </row>
        <row r="36">
          <cell r="E36">
            <v>760805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73247</v>
          </cell>
        </row>
        <row r="28">
          <cell r="E28">
            <v>185172</v>
          </cell>
        </row>
        <row r="31">
          <cell r="E31">
            <v>6260</v>
          </cell>
        </row>
        <row r="35">
          <cell r="E35">
            <v>12148</v>
          </cell>
        </row>
        <row r="36">
          <cell r="E36">
            <v>276827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7230</v>
          </cell>
        </row>
        <row r="28">
          <cell r="E28">
            <v>10051</v>
          </cell>
        </row>
        <row r="31">
          <cell r="E31">
            <v>271</v>
          </cell>
        </row>
        <row r="35">
          <cell r="E35">
            <v>1401</v>
          </cell>
        </row>
        <row r="36">
          <cell r="E36">
            <v>18953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62107</v>
          </cell>
        </row>
        <row r="28">
          <cell r="E28">
            <v>103603</v>
          </cell>
        </row>
        <row r="31">
          <cell r="E31">
            <v>4235</v>
          </cell>
        </row>
        <row r="35">
          <cell r="E35">
            <v>8778</v>
          </cell>
        </row>
        <row r="36">
          <cell r="E36">
            <v>178723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18418</v>
          </cell>
        </row>
        <row r="28">
          <cell r="E28">
            <v>33892</v>
          </cell>
        </row>
        <row r="31">
          <cell r="E31">
            <v>1198</v>
          </cell>
        </row>
        <row r="35">
          <cell r="E35">
            <v>3460</v>
          </cell>
        </row>
        <row r="36">
          <cell r="E36">
            <v>56968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12544</v>
          </cell>
        </row>
        <row r="28">
          <cell r="E28">
            <v>16560</v>
          </cell>
        </row>
        <row r="31">
          <cell r="E31">
            <v>694</v>
          </cell>
        </row>
        <row r="35">
          <cell r="E35">
            <v>3292</v>
          </cell>
        </row>
        <row r="36">
          <cell r="E36">
            <v>33090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7334</v>
          </cell>
        </row>
        <row r="28">
          <cell r="E28">
            <v>10066</v>
          </cell>
        </row>
        <row r="31">
          <cell r="E31">
            <v>340</v>
          </cell>
        </row>
        <row r="35">
          <cell r="E35">
            <v>1163</v>
          </cell>
        </row>
        <row r="36">
          <cell r="E36">
            <v>18903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53644</v>
          </cell>
        </row>
        <row r="28">
          <cell r="E28">
            <v>115147</v>
          </cell>
        </row>
        <row r="31">
          <cell r="E31">
            <v>2548</v>
          </cell>
        </row>
        <row r="35">
          <cell r="E35">
            <v>12152</v>
          </cell>
        </row>
        <row r="36">
          <cell r="E36">
            <v>183491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45482</v>
          </cell>
        </row>
        <row r="28">
          <cell r="E28">
            <v>68088</v>
          </cell>
        </row>
        <row r="31">
          <cell r="E31">
            <v>2301</v>
          </cell>
        </row>
        <row r="35">
          <cell r="E35">
            <v>8217</v>
          </cell>
        </row>
        <row r="36">
          <cell r="E36">
            <v>124088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11312</v>
          </cell>
        </row>
        <row r="28">
          <cell r="E28">
            <v>11672</v>
          </cell>
        </row>
        <row r="31">
          <cell r="E31">
            <v>676</v>
          </cell>
        </row>
        <row r="35">
          <cell r="E35">
            <v>2198</v>
          </cell>
        </row>
        <row r="36">
          <cell r="E36">
            <v>25858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13116</v>
          </cell>
        </row>
        <row r="28">
          <cell r="E28">
            <v>14984</v>
          </cell>
        </row>
        <row r="31">
          <cell r="E31">
            <v>565</v>
          </cell>
        </row>
        <row r="35">
          <cell r="E35">
            <v>1577</v>
          </cell>
        </row>
        <row r="36">
          <cell r="E36">
            <v>30242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38531</v>
          </cell>
        </row>
        <row r="28">
          <cell r="E28">
            <v>83469</v>
          </cell>
        </row>
        <row r="31">
          <cell r="E31">
            <v>1846</v>
          </cell>
        </row>
        <row r="35">
          <cell r="E35">
            <v>7030</v>
          </cell>
        </row>
        <row r="36">
          <cell r="E36">
            <v>130876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6500</v>
          </cell>
        </row>
        <row r="28">
          <cell r="E28">
            <v>8582</v>
          </cell>
        </row>
        <row r="31">
          <cell r="E31">
            <v>345</v>
          </cell>
        </row>
        <row r="35">
          <cell r="E35">
            <v>773</v>
          </cell>
        </row>
        <row r="36">
          <cell r="E36">
            <v>16200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102920</v>
          </cell>
        </row>
        <row r="28">
          <cell r="E28">
            <v>94275</v>
          </cell>
        </row>
        <row r="31">
          <cell r="E31">
            <v>2693</v>
          </cell>
        </row>
        <row r="35">
          <cell r="E35">
            <v>16347</v>
          </cell>
        </row>
        <row r="36">
          <cell r="E36">
            <v>216235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75913</v>
          </cell>
        </row>
        <row r="28">
          <cell r="E28">
            <v>152729</v>
          </cell>
        </row>
        <row r="31">
          <cell r="E31">
            <v>9710</v>
          </cell>
        </row>
        <row r="35">
          <cell r="E35">
            <v>13262</v>
          </cell>
        </row>
        <row r="36">
          <cell r="E36">
            <v>251614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2989</v>
          </cell>
        </row>
        <row r="28">
          <cell r="E28">
            <v>4560</v>
          </cell>
        </row>
        <row r="31">
          <cell r="E31">
            <v>206</v>
          </cell>
        </row>
        <row r="35">
          <cell r="E35">
            <v>425</v>
          </cell>
        </row>
        <row r="36">
          <cell r="E36">
            <v>8180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30011</v>
          </cell>
        </row>
        <row r="28">
          <cell r="E28">
            <v>61437</v>
          </cell>
        </row>
        <row r="31">
          <cell r="E31">
            <v>1156</v>
          </cell>
        </row>
        <row r="35">
          <cell r="E35">
            <v>4297</v>
          </cell>
        </row>
        <row r="36">
          <cell r="E36">
            <v>96901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2807</v>
          </cell>
        </row>
        <row r="28">
          <cell r="E28">
            <v>6104</v>
          </cell>
        </row>
        <row r="31">
          <cell r="E31">
            <v>201</v>
          </cell>
        </row>
        <row r="35">
          <cell r="E35">
            <v>404</v>
          </cell>
        </row>
        <row r="36">
          <cell r="E36">
            <v>9516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22545</v>
          </cell>
        </row>
        <row r="28">
          <cell r="E28">
            <v>37624</v>
          </cell>
        </row>
        <row r="31">
          <cell r="E31">
            <v>1419</v>
          </cell>
        </row>
        <row r="35">
          <cell r="E35">
            <v>2930</v>
          </cell>
        </row>
        <row r="36">
          <cell r="E36">
            <v>64518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122269</v>
          </cell>
        </row>
        <row r="28">
          <cell r="E28">
            <v>171818</v>
          </cell>
        </row>
        <row r="31">
          <cell r="E31">
            <v>5399</v>
          </cell>
        </row>
        <row r="35">
          <cell r="E35">
            <v>17062</v>
          </cell>
        </row>
        <row r="36">
          <cell r="E36">
            <v>316548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23706</v>
          </cell>
        </row>
        <row r="28">
          <cell r="E28">
            <v>26304</v>
          </cell>
        </row>
        <row r="31">
          <cell r="E31">
            <v>1170</v>
          </cell>
        </row>
        <row r="35">
          <cell r="E35">
            <v>3597</v>
          </cell>
        </row>
        <row r="36">
          <cell r="E36">
            <v>54777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6936</v>
          </cell>
        </row>
        <row r="28">
          <cell r="E28">
            <v>9429</v>
          </cell>
        </row>
        <row r="31">
          <cell r="E31">
            <v>338</v>
          </cell>
        </row>
        <row r="35">
          <cell r="E35">
            <v>889</v>
          </cell>
        </row>
        <row r="36">
          <cell r="E36">
            <v>17592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34355</v>
          </cell>
        </row>
        <row r="28">
          <cell r="E28">
            <v>59634</v>
          </cell>
        </row>
        <row r="31">
          <cell r="E31">
            <v>1954</v>
          </cell>
        </row>
        <row r="35">
          <cell r="E35">
            <v>6432</v>
          </cell>
        </row>
        <row r="36">
          <cell r="E36">
            <v>102375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3002</v>
          </cell>
        </row>
        <row r="40">
          <cell r="E40">
            <v>9278</v>
          </cell>
        </row>
        <row r="47">
          <cell r="E47">
            <v>1442</v>
          </cell>
        </row>
        <row r="54">
          <cell r="E54">
            <v>578</v>
          </cell>
        </row>
        <row r="61">
          <cell r="E61">
            <v>14300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55684</v>
          </cell>
        </row>
        <row r="28">
          <cell r="E28">
            <v>51148</v>
          </cell>
        </row>
        <row r="31">
          <cell r="E31">
            <v>1874</v>
          </cell>
        </row>
        <row r="35">
          <cell r="E35">
            <v>8955</v>
          </cell>
        </row>
        <row r="36">
          <cell r="E36">
            <v>117661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2393</v>
          </cell>
        </row>
        <row r="40">
          <cell r="E40">
            <v>9366</v>
          </cell>
        </row>
        <row r="47">
          <cell r="E47">
            <v>801</v>
          </cell>
        </row>
        <row r="54">
          <cell r="E54">
            <v>636</v>
          </cell>
        </row>
        <row r="61">
          <cell r="E61">
            <v>13196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1868228</v>
          </cell>
        </row>
        <row r="39">
          <cell r="E39">
            <v>3365941</v>
          </cell>
        </row>
        <row r="46">
          <cell r="E46">
            <v>196176</v>
          </cell>
        </row>
        <row r="53">
          <cell r="E53">
            <v>382579</v>
          </cell>
        </row>
        <row r="60">
          <cell r="E60">
            <v>5813170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18849</v>
          </cell>
        </row>
        <row r="28">
          <cell r="E28">
            <v>33043</v>
          </cell>
        </row>
        <row r="31">
          <cell r="E31">
            <v>722</v>
          </cell>
        </row>
        <row r="35">
          <cell r="E35">
            <v>2535</v>
          </cell>
        </row>
        <row r="36">
          <cell r="E36">
            <v>55149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83452</v>
          </cell>
        </row>
        <row r="28">
          <cell r="E28">
            <v>234769</v>
          </cell>
        </row>
        <row r="31">
          <cell r="E31">
            <v>3400</v>
          </cell>
        </row>
        <row r="35">
          <cell r="E35">
            <v>11166</v>
          </cell>
        </row>
        <row r="36">
          <cell r="E36">
            <v>332787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30866</v>
          </cell>
        </row>
        <row r="28">
          <cell r="E28">
            <v>97985</v>
          </cell>
        </row>
        <row r="31">
          <cell r="E31">
            <v>3169</v>
          </cell>
        </row>
        <row r="35">
          <cell r="E35">
            <v>4999</v>
          </cell>
        </row>
        <row r="36">
          <cell r="E36">
            <v>137019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12599</v>
          </cell>
        </row>
        <row r="28">
          <cell r="E28">
            <v>28256</v>
          </cell>
        </row>
        <row r="31">
          <cell r="E31">
            <v>1118</v>
          </cell>
        </row>
        <row r="35">
          <cell r="E35">
            <v>2977</v>
          </cell>
        </row>
        <row r="36">
          <cell r="E36">
            <v>44950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56779</v>
          </cell>
        </row>
        <row r="28">
          <cell r="E28">
            <v>90957</v>
          </cell>
        </row>
        <row r="31">
          <cell r="E31">
            <v>2610</v>
          </cell>
        </row>
        <row r="35">
          <cell r="E35">
            <v>12194</v>
          </cell>
        </row>
        <row r="36">
          <cell r="E36">
            <v>162540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9182</v>
          </cell>
        </row>
        <row r="28">
          <cell r="E28">
            <v>13764</v>
          </cell>
        </row>
        <row r="31">
          <cell r="E31">
            <v>347</v>
          </cell>
        </row>
        <row r="35">
          <cell r="E35">
            <v>626</v>
          </cell>
        </row>
        <row r="36">
          <cell r="E36">
            <v>23919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24288</v>
          </cell>
        </row>
        <row r="28">
          <cell r="E28">
            <v>67070</v>
          </cell>
        </row>
        <row r="31">
          <cell r="E31">
            <v>1095</v>
          </cell>
        </row>
        <row r="35">
          <cell r="E35">
            <v>3506</v>
          </cell>
        </row>
        <row r="36">
          <cell r="E36">
            <v>95959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52737</v>
          </cell>
        </row>
        <row r="28">
          <cell r="E28">
            <v>146758</v>
          </cell>
        </row>
        <row r="31">
          <cell r="E31">
            <v>1589</v>
          </cell>
        </row>
        <row r="35">
          <cell r="E35">
            <v>6475</v>
          </cell>
        </row>
        <row r="36">
          <cell r="E36">
            <v>207559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14714</v>
          </cell>
        </row>
        <row r="28">
          <cell r="E28">
            <v>14118</v>
          </cell>
        </row>
        <row r="31">
          <cell r="E31">
            <v>615</v>
          </cell>
        </row>
        <row r="35">
          <cell r="E35">
            <v>2280</v>
          </cell>
        </row>
        <row r="36">
          <cell r="E36">
            <v>31727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210079</v>
          </cell>
        </row>
        <row r="28">
          <cell r="E28">
            <v>624634</v>
          </cell>
        </row>
        <row r="31">
          <cell r="E31">
            <v>7467</v>
          </cell>
        </row>
        <row r="35">
          <cell r="E35">
            <v>43906</v>
          </cell>
        </row>
        <row r="36">
          <cell r="E36">
            <v>886086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39902</v>
          </cell>
        </row>
        <row r="28">
          <cell r="E28">
            <v>87523</v>
          </cell>
        </row>
        <row r="31">
          <cell r="E31">
            <v>3633</v>
          </cell>
        </row>
        <row r="35">
          <cell r="E35">
            <v>10314</v>
          </cell>
        </row>
        <row r="36">
          <cell r="E36">
            <v>141372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17185</v>
          </cell>
        </row>
        <row r="28">
          <cell r="E28">
            <v>32581</v>
          </cell>
        </row>
        <row r="31">
          <cell r="E31">
            <v>1202</v>
          </cell>
        </row>
        <row r="35">
          <cell r="E35">
            <v>3017</v>
          </cell>
        </row>
        <row r="36">
          <cell r="E36">
            <v>53985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15072</v>
          </cell>
        </row>
        <row r="28">
          <cell r="E28">
            <v>35555</v>
          </cell>
        </row>
        <row r="31">
          <cell r="E31">
            <v>672</v>
          </cell>
        </row>
        <row r="35">
          <cell r="E35">
            <v>1601</v>
          </cell>
        </row>
        <row r="36">
          <cell r="E36">
            <v>52900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55349</v>
          </cell>
        </row>
        <row r="28">
          <cell r="E28">
            <v>165813</v>
          </cell>
        </row>
        <row r="31">
          <cell r="E31">
            <v>6713</v>
          </cell>
        </row>
        <row r="35">
          <cell r="E35">
            <v>7688</v>
          </cell>
        </row>
        <row r="36">
          <cell r="E36">
            <v>235563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33716</v>
          </cell>
        </row>
        <row r="28">
          <cell r="E28">
            <v>66074</v>
          </cell>
        </row>
        <row r="31">
          <cell r="E31">
            <v>1229</v>
          </cell>
        </row>
        <row r="35">
          <cell r="E35">
            <v>4671</v>
          </cell>
        </row>
        <row r="36">
          <cell r="E36">
            <v>105690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30185</v>
          </cell>
        </row>
        <row r="28">
          <cell r="E28">
            <v>61977</v>
          </cell>
        </row>
        <row r="31">
          <cell r="E31">
            <v>1305</v>
          </cell>
        </row>
        <row r="35">
          <cell r="E35">
            <v>4071</v>
          </cell>
        </row>
        <row r="36">
          <cell r="E36">
            <v>97538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20950</v>
          </cell>
        </row>
        <row r="28">
          <cell r="E28">
            <v>49870</v>
          </cell>
        </row>
        <row r="31">
          <cell r="E31">
            <v>643</v>
          </cell>
        </row>
        <row r="35">
          <cell r="E35">
            <v>2734</v>
          </cell>
        </row>
        <row r="36">
          <cell r="E36">
            <v>74197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30207</v>
          </cell>
        </row>
        <row r="28">
          <cell r="E28">
            <v>93192</v>
          </cell>
        </row>
        <row r="31">
          <cell r="E31">
            <v>4214</v>
          </cell>
        </row>
        <row r="35">
          <cell r="E35">
            <v>4294</v>
          </cell>
        </row>
        <row r="36">
          <cell r="E36">
            <v>131907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52294</v>
          </cell>
        </row>
        <row r="28">
          <cell r="E28">
            <v>94904</v>
          </cell>
        </row>
        <row r="31">
          <cell r="E31">
            <v>2660</v>
          </cell>
        </row>
        <row r="35">
          <cell r="E35">
            <v>10903</v>
          </cell>
        </row>
        <row r="36">
          <cell r="E36">
            <v>160761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16534</v>
          </cell>
        </row>
        <row r="28">
          <cell r="E28">
            <v>13448</v>
          </cell>
        </row>
        <row r="31">
          <cell r="E31">
            <v>804</v>
          </cell>
        </row>
        <row r="35">
          <cell r="E35">
            <v>2031</v>
          </cell>
        </row>
        <row r="36">
          <cell r="E36">
            <v>32817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7283</v>
          </cell>
        </row>
        <row r="28">
          <cell r="E28">
            <v>19278</v>
          </cell>
        </row>
        <row r="31">
          <cell r="E31">
            <v>455</v>
          </cell>
        </row>
        <row r="35">
          <cell r="E35">
            <v>1418</v>
          </cell>
        </row>
        <row r="36">
          <cell r="E36">
            <v>28434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18122</v>
          </cell>
        </row>
        <row r="28">
          <cell r="E28">
            <v>49175</v>
          </cell>
        </row>
        <row r="31">
          <cell r="E31">
            <v>1498</v>
          </cell>
        </row>
        <row r="35">
          <cell r="E35">
            <v>4363</v>
          </cell>
        </row>
        <row r="36">
          <cell r="E36">
            <v>73158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25396</v>
          </cell>
        </row>
        <row r="28">
          <cell r="E28">
            <v>88759</v>
          </cell>
        </row>
        <row r="31">
          <cell r="E31">
            <v>1298</v>
          </cell>
        </row>
        <row r="35">
          <cell r="E35">
            <v>3300</v>
          </cell>
        </row>
        <row r="36">
          <cell r="E36">
            <v>118753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40345</v>
          </cell>
        </row>
        <row r="28">
          <cell r="E28">
            <v>158145</v>
          </cell>
        </row>
        <row r="31">
          <cell r="E31">
            <v>5029</v>
          </cell>
        </row>
        <row r="35">
          <cell r="E35">
            <v>7986</v>
          </cell>
        </row>
        <row r="36">
          <cell r="E36">
            <v>211505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10627</v>
          </cell>
        </row>
        <row r="28">
          <cell r="E28">
            <v>24262</v>
          </cell>
        </row>
        <row r="31">
          <cell r="E31">
            <v>660</v>
          </cell>
        </row>
        <row r="35">
          <cell r="E35">
            <v>1652</v>
          </cell>
        </row>
        <row r="36">
          <cell r="E36">
            <v>37201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22368</v>
          </cell>
        </row>
        <row r="28">
          <cell r="E28">
            <v>65993</v>
          </cell>
        </row>
        <row r="31">
          <cell r="E31">
            <v>2338</v>
          </cell>
        </row>
        <row r="35">
          <cell r="E35">
            <v>4097</v>
          </cell>
        </row>
        <row r="36">
          <cell r="E36">
            <v>94796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7788</v>
          </cell>
        </row>
        <row r="28">
          <cell r="E28">
            <v>21599</v>
          </cell>
        </row>
        <row r="31">
          <cell r="E31">
            <v>370</v>
          </cell>
        </row>
        <row r="35">
          <cell r="E35">
            <v>763</v>
          </cell>
        </row>
        <row r="36">
          <cell r="E36">
            <v>30520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24465</v>
          </cell>
        </row>
        <row r="28">
          <cell r="E28">
            <v>66626</v>
          </cell>
        </row>
        <row r="31">
          <cell r="E31">
            <v>2611</v>
          </cell>
        </row>
        <row r="35">
          <cell r="E35">
            <v>2924</v>
          </cell>
        </row>
        <row r="36">
          <cell r="E36">
            <v>96626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26530</v>
          </cell>
        </row>
        <row r="28">
          <cell r="E28">
            <v>41206</v>
          </cell>
        </row>
        <row r="31">
          <cell r="E31">
            <v>1024</v>
          </cell>
        </row>
        <row r="35">
          <cell r="E35">
            <v>4862</v>
          </cell>
        </row>
        <row r="36">
          <cell r="E36">
            <v>73622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14332</v>
          </cell>
        </row>
        <row r="28">
          <cell r="E28">
            <v>38113</v>
          </cell>
        </row>
        <row r="31">
          <cell r="E31">
            <v>568</v>
          </cell>
        </row>
        <row r="35">
          <cell r="E35">
            <v>1827</v>
          </cell>
        </row>
        <row r="36">
          <cell r="E36">
            <v>54840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18403</v>
          </cell>
        </row>
        <row r="28">
          <cell r="E28">
            <v>13138</v>
          </cell>
        </row>
        <row r="31">
          <cell r="E31">
            <v>1253</v>
          </cell>
        </row>
        <row r="35">
          <cell r="E35">
            <v>3239</v>
          </cell>
        </row>
        <row r="36">
          <cell r="E36">
            <v>36033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71066</v>
          </cell>
        </row>
        <row r="28">
          <cell r="E28">
            <v>75468</v>
          </cell>
        </row>
        <row r="31">
          <cell r="E31">
            <v>3019</v>
          </cell>
        </row>
        <row r="35">
          <cell r="E35">
            <v>9719</v>
          </cell>
        </row>
        <row r="36">
          <cell r="E36">
            <v>159272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14876</v>
          </cell>
        </row>
        <row r="28">
          <cell r="E28">
            <v>26927</v>
          </cell>
        </row>
        <row r="31">
          <cell r="E31">
            <v>756</v>
          </cell>
        </row>
        <row r="35">
          <cell r="E35">
            <v>2816</v>
          </cell>
        </row>
        <row r="36">
          <cell r="E36">
            <v>45375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329822</v>
          </cell>
        </row>
        <row r="28">
          <cell r="E28">
            <v>869183</v>
          </cell>
        </row>
        <row r="31">
          <cell r="E31">
            <v>19188</v>
          </cell>
        </row>
        <row r="35">
          <cell r="E35">
            <v>55081</v>
          </cell>
        </row>
        <row r="36">
          <cell r="E36">
            <v>1273274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80927</v>
          </cell>
        </row>
        <row r="28">
          <cell r="E28">
            <v>342643</v>
          </cell>
        </row>
        <row r="31">
          <cell r="E31">
            <v>6880</v>
          </cell>
        </row>
        <row r="35">
          <cell r="E35">
            <v>12918</v>
          </cell>
        </row>
        <row r="36">
          <cell r="E36">
            <v>443368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66057</v>
          </cell>
        </row>
        <row r="28">
          <cell r="E28">
            <v>180471</v>
          </cell>
        </row>
        <row r="31">
          <cell r="E31">
            <v>4009</v>
          </cell>
        </row>
        <row r="35">
          <cell r="E35">
            <v>9538</v>
          </cell>
        </row>
        <row r="36">
          <cell r="E36">
            <v>260075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20144</v>
          </cell>
        </row>
        <row r="28">
          <cell r="E28">
            <v>69351</v>
          </cell>
        </row>
        <row r="31">
          <cell r="E31">
            <v>1221</v>
          </cell>
        </row>
        <row r="35">
          <cell r="E35">
            <v>3908</v>
          </cell>
        </row>
        <row r="36">
          <cell r="E36">
            <v>94624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14158</v>
          </cell>
        </row>
        <row r="28">
          <cell r="E28">
            <v>26455</v>
          </cell>
        </row>
        <row r="31">
          <cell r="E31">
            <v>879</v>
          </cell>
        </row>
        <row r="35">
          <cell r="E35">
            <v>3347</v>
          </cell>
        </row>
        <row r="36">
          <cell r="E36">
            <v>44839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8053</v>
          </cell>
        </row>
        <row r="28">
          <cell r="E28">
            <v>17084</v>
          </cell>
        </row>
        <row r="31">
          <cell r="E31">
            <v>324</v>
          </cell>
        </row>
        <row r="35">
          <cell r="E35">
            <v>1319</v>
          </cell>
        </row>
        <row r="36">
          <cell r="E36">
            <v>26780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56558</v>
          </cell>
        </row>
        <row r="28">
          <cell r="E28">
            <v>149670</v>
          </cell>
        </row>
        <row r="31">
          <cell r="E31">
            <v>3490</v>
          </cell>
        </row>
        <row r="35">
          <cell r="E35">
            <v>12202</v>
          </cell>
        </row>
        <row r="36">
          <cell r="E36">
            <v>221920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48806</v>
          </cell>
        </row>
        <row r="28">
          <cell r="E28">
            <v>113135</v>
          </cell>
        </row>
        <row r="31">
          <cell r="E31">
            <v>2275</v>
          </cell>
        </row>
        <row r="35">
          <cell r="E35">
            <v>7968</v>
          </cell>
        </row>
        <row r="36">
          <cell r="E36">
            <v>172184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14627</v>
          </cell>
        </row>
        <row r="28">
          <cell r="E28">
            <v>20592</v>
          </cell>
        </row>
        <row r="31">
          <cell r="E31">
            <v>977</v>
          </cell>
        </row>
        <row r="35">
          <cell r="E35">
            <v>2614</v>
          </cell>
        </row>
        <row r="36">
          <cell r="E36">
            <v>38810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7132</v>
          </cell>
        </row>
        <row r="28">
          <cell r="E28">
            <v>8572</v>
          </cell>
        </row>
        <row r="31">
          <cell r="E31">
            <v>294</v>
          </cell>
        </row>
        <row r="35">
          <cell r="E35">
            <v>1031</v>
          </cell>
        </row>
        <row r="36">
          <cell r="E36">
            <v>17029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14529</v>
          </cell>
        </row>
        <row r="28">
          <cell r="E28">
            <v>32419</v>
          </cell>
        </row>
        <row r="31">
          <cell r="E31">
            <v>838</v>
          </cell>
        </row>
        <row r="35">
          <cell r="E35">
            <v>1729</v>
          </cell>
        </row>
        <row r="36">
          <cell r="E36">
            <v>49515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40947</v>
          </cell>
        </row>
        <row r="28">
          <cell r="E28">
            <v>124622</v>
          </cell>
        </row>
        <row r="31">
          <cell r="E31">
            <v>2152</v>
          </cell>
        </row>
        <row r="35">
          <cell r="E35">
            <v>7578</v>
          </cell>
        </row>
        <row r="36">
          <cell r="E36">
            <v>175299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8860</v>
          </cell>
        </row>
        <row r="28">
          <cell r="E28">
            <v>14391</v>
          </cell>
        </row>
        <row r="31">
          <cell r="E31">
            <v>361</v>
          </cell>
        </row>
        <row r="35">
          <cell r="E35">
            <v>808</v>
          </cell>
        </row>
        <row r="36">
          <cell r="E36">
            <v>24420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80531</v>
          </cell>
        </row>
        <row r="28">
          <cell r="E28">
            <v>279410</v>
          </cell>
        </row>
        <row r="31">
          <cell r="E31">
            <v>8545</v>
          </cell>
        </row>
        <row r="35">
          <cell r="E35">
            <v>13102</v>
          </cell>
        </row>
        <row r="36">
          <cell r="E36">
            <v>381588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3458</v>
          </cell>
        </row>
        <row r="28">
          <cell r="E28">
            <v>7030</v>
          </cell>
        </row>
        <row r="31">
          <cell r="E31">
            <v>285</v>
          </cell>
        </row>
        <row r="35">
          <cell r="E35">
            <v>547</v>
          </cell>
        </row>
        <row r="36">
          <cell r="E36">
            <v>11320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30187</v>
          </cell>
        </row>
        <row r="28">
          <cell r="E28">
            <v>105274</v>
          </cell>
        </row>
        <row r="31">
          <cell r="E31">
            <v>1022</v>
          </cell>
        </row>
        <row r="35">
          <cell r="E35">
            <v>4885</v>
          </cell>
        </row>
        <row r="36">
          <cell r="E36">
            <v>141368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3235</v>
          </cell>
        </row>
        <row r="28">
          <cell r="E28">
            <v>8482</v>
          </cell>
        </row>
        <row r="31">
          <cell r="E31">
            <v>156</v>
          </cell>
        </row>
        <row r="35">
          <cell r="E35">
            <v>404</v>
          </cell>
        </row>
        <row r="36">
          <cell r="E36">
            <v>12277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27334</v>
          </cell>
        </row>
        <row r="28">
          <cell r="E28">
            <v>71004</v>
          </cell>
        </row>
        <row r="31">
          <cell r="E31">
            <v>1457</v>
          </cell>
        </row>
        <row r="35">
          <cell r="E35">
            <v>3580</v>
          </cell>
        </row>
        <row r="36">
          <cell r="E36">
            <v>103375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138639</v>
          </cell>
        </row>
        <row r="28">
          <cell r="E28">
            <v>310417</v>
          </cell>
        </row>
        <row r="31">
          <cell r="E31">
            <v>5876</v>
          </cell>
        </row>
        <row r="35">
          <cell r="E35">
            <v>18804</v>
          </cell>
        </row>
        <row r="36">
          <cell r="E36">
            <v>473736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28433</v>
          </cell>
        </row>
        <row r="28">
          <cell r="E28">
            <v>49558</v>
          </cell>
        </row>
        <row r="31">
          <cell r="E31">
            <v>1280</v>
          </cell>
        </row>
        <row r="35">
          <cell r="E35">
            <v>3926</v>
          </cell>
        </row>
        <row r="36">
          <cell r="E36">
            <v>83197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107628</v>
          </cell>
        </row>
        <row r="28">
          <cell r="E28">
            <v>136865</v>
          </cell>
        </row>
        <row r="31">
          <cell r="E31">
            <v>5223</v>
          </cell>
        </row>
        <row r="35">
          <cell r="E35">
            <v>14584</v>
          </cell>
        </row>
        <row r="36">
          <cell r="E36">
            <v>264300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8456</v>
          </cell>
        </row>
        <row r="28">
          <cell r="E28">
            <v>15047</v>
          </cell>
        </row>
        <row r="31">
          <cell r="E31">
            <v>438</v>
          </cell>
        </row>
        <row r="35">
          <cell r="E35">
            <v>991</v>
          </cell>
        </row>
        <row r="36">
          <cell r="E36">
            <v>24932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39195</v>
          </cell>
        </row>
        <row r="28">
          <cell r="E28">
            <v>95339</v>
          </cell>
        </row>
        <row r="31">
          <cell r="E31">
            <v>1753</v>
          </cell>
        </row>
        <row r="35">
          <cell r="E35">
            <v>6217</v>
          </cell>
        </row>
        <row r="36">
          <cell r="E36">
            <v>142504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3099</v>
          </cell>
        </row>
        <row r="40">
          <cell r="E40">
            <v>11435</v>
          </cell>
        </row>
        <row r="47">
          <cell r="E47">
            <v>1564</v>
          </cell>
        </row>
        <row r="54">
          <cell r="E54">
            <v>538</v>
          </cell>
        </row>
        <row r="61">
          <cell r="E61">
            <v>16636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2768</v>
          </cell>
        </row>
        <row r="40">
          <cell r="E40">
            <v>13637</v>
          </cell>
        </row>
        <row r="47">
          <cell r="E47">
            <v>1801</v>
          </cell>
        </row>
        <row r="54">
          <cell r="E54">
            <v>659</v>
          </cell>
        </row>
        <row r="61">
          <cell r="E61">
            <v>18865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2074048</v>
          </cell>
        </row>
        <row r="39">
          <cell r="E39">
            <v>5806074</v>
          </cell>
        </row>
        <row r="46">
          <cell r="E46">
            <v>198753</v>
          </cell>
        </row>
        <row r="53">
          <cell r="E53">
            <v>399592</v>
          </cell>
        </row>
        <row r="60">
          <cell r="E60">
            <v>8478731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16379</v>
          </cell>
        </row>
        <row r="28">
          <cell r="E28">
            <v>34841</v>
          </cell>
        </row>
        <row r="31">
          <cell r="E31">
            <v>848</v>
          </cell>
        </row>
        <row r="35">
          <cell r="E35">
            <v>3413</v>
          </cell>
        </row>
        <row r="36">
          <cell r="E36">
            <v>55481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78083</v>
          </cell>
        </row>
        <row r="28">
          <cell r="E28">
            <v>250638</v>
          </cell>
        </row>
        <row r="31">
          <cell r="E31">
            <v>3765</v>
          </cell>
        </row>
        <row r="35">
          <cell r="E35">
            <v>11656</v>
          </cell>
        </row>
        <row r="36">
          <cell r="E36">
            <v>344142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28338</v>
          </cell>
        </row>
        <row r="28">
          <cell r="E28">
            <v>103940</v>
          </cell>
        </row>
        <row r="31">
          <cell r="E31">
            <v>4608</v>
          </cell>
        </row>
        <row r="35">
          <cell r="E35">
            <v>4963</v>
          </cell>
        </row>
        <row r="36">
          <cell r="E36">
            <v>141849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12110</v>
          </cell>
        </row>
        <row r="28">
          <cell r="E28">
            <v>29069</v>
          </cell>
        </row>
        <row r="31">
          <cell r="E31">
            <v>1178</v>
          </cell>
        </row>
        <row r="35">
          <cell r="E35">
            <v>3529</v>
          </cell>
        </row>
        <row r="36">
          <cell r="E36">
            <v>45886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54719</v>
          </cell>
        </row>
        <row r="28">
          <cell r="E28">
            <v>99610</v>
          </cell>
        </row>
        <row r="31">
          <cell r="E31">
            <v>2440</v>
          </cell>
        </row>
        <row r="35">
          <cell r="E35">
            <v>13335</v>
          </cell>
        </row>
        <row r="36">
          <cell r="E36">
            <v>170104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4408</v>
          </cell>
        </row>
        <row r="28">
          <cell r="E28">
            <v>5519</v>
          </cell>
        </row>
        <row r="31">
          <cell r="E31">
            <v>141</v>
          </cell>
        </row>
        <row r="35">
          <cell r="E35">
            <v>486</v>
          </cell>
        </row>
        <row r="36">
          <cell r="E36">
            <v>10554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6197</v>
          </cell>
        </row>
        <row r="28">
          <cell r="E28">
            <v>14938</v>
          </cell>
        </row>
        <row r="31">
          <cell r="E31">
            <v>371</v>
          </cell>
        </row>
        <row r="35">
          <cell r="E35">
            <v>589</v>
          </cell>
        </row>
        <row r="36">
          <cell r="E36">
            <v>22095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23336</v>
          </cell>
        </row>
        <row r="28">
          <cell r="E28">
            <v>72498</v>
          </cell>
        </row>
        <row r="31">
          <cell r="E31">
            <v>1334</v>
          </cell>
        </row>
        <row r="35">
          <cell r="E35">
            <v>3311</v>
          </cell>
        </row>
        <row r="36">
          <cell r="E36">
            <v>100479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50057</v>
          </cell>
        </row>
        <row r="28">
          <cell r="E28">
            <v>153499</v>
          </cell>
        </row>
        <row r="31">
          <cell r="E31">
            <v>1619</v>
          </cell>
        </row>
        <row r="35">
          <cell r="E35">
            <v>7240</v>
          </cell>
        </row>
        <row r="36">
          <cell r="E36">
            <v>212415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231689</v>
          </cell>
        </row>
        <row r="28">
          <cell r="E28">
            <v>657035</v>
          </cell>
        </row>
        <row r="31">
          <cell r="E31">
            <v>9667</v>
          </cell>
        </row>
        <row r="35">
          <cell r="E35">
            <v>48347</v>
          </cell>
        </row>
        <row r="36">
          <cell r="E36">
            <v>946738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39224</v>
          </cell>
        </row>
        <row r="28">
          <cell r="E28">
            <v>94642</v>
          </cell>
        </row>
        <row r="31">
          <cell r="E31">
            <v>2620</v>
          </cell>
        </row>
        <row r="35">
          <cell r="E35">
            <v>11344</v>
          </cell>
        </row>
        <row r="36">
          <cell r="E36">
            <v>147830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17176</v>
          </cell>
        </row>
        <row r="28">
          <cell r="E28">
            <v>34134</v>
          </cell>
        </row>
        <row r="31">
          <cell r="E31">
            <v>1525</v>
          </cell>
        </row>
        <row r="35">
          <cell r="E35">
            <v>3353</v>
          </cell>
        </row>
        <row r="36">
          <cell r="E36">
            <v>56188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13700</v>
          </cell>
        </row>
        <row r="28">
          <cell r="E28">
            <v>34735</v>
          </cell>
        </row>
        <row r="31">
          <cell r="E31">
            <v>756</v>
          </cell>
        </row>
        <row r="35">
          <cell r="E35">
            <v>1665</v>
          </cell>
        </row>
        <row r="36">
          <cell r="E36">
            <v>50856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49110</v>
          </cell>
        </row>
        <row r="28">
          <cell r="E28">
            <v>178000</v>
          </cell>
        </row>
        <row r="31">
          <cell r="E31">
            <v>8328</v>
          </cell>
        </row>
        <row r="35">
          <cell r="E35">
            <v>9169</v>
          </cell>
        </row>
        <row r="36">
          <cell r="E36">
            <v>244607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30137</v>
          </cell>
        </row>
        <row r="28">
          <cell r="E28">
            <v>73428</v>
          </cell>
        </row>
        <row r="31">
          <cell r="E31">
            <v>1232</v>
          </cell>
        </row>
        <row r="35">
          <cell r="E35">
            <v>4835</v>
          </cell>
        </row>
        <row r="36">
          <cell r="E36">
            <v>109632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24331</v>
          </cell>
        </row>
        <row r="28">
          <cell r="E28">
            <v>68267</v>
          </cell>
        </row>
        <row r="31">
          <cell r="E31">
            <v>1188</v>
          </cell>
        </row>
        <row r="35">
          <cell r="E35">
            <v>4405</v>
          </cell>
        </row>
        <row r="36">
          <cell r="E36">
            <v>98191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52913</v>
          </cell>
        </row>
        <row r="28">
          <cell r="E28">
            <v>73198</v>
          </cell>
        </row>
        <row r="31">
          <cell r="E31">
            <v>953</v>
          </cell>
        </row>
        <row r="35">
          <cell r="E35">
            <v>5463</v>
          </cell>
        </row>
        <row r="36">
          <cell r="E36">
            <v>132527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18024</v>
          </cell>
        </row>
        <row r="28">
          <cell r="E28">
            <v>51723</v>
          </cell>
        </row>
        <row r="31">
          <cell r="E31">
            <v>857</v>
          </cell>
        </row>
        <row r="35">
          <cell r="E35">
            <v>3082</v>
          </cell>
        </row>
        <row r="36">
          <cell r="E36">
            <v>73686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29881</v>
          </cell>
        </row>
        <row r="28">
          <cell r="E28">
            <v>97840</v>
          </cell>
        </row>
        <row r="31">
          <cell r="E31">
            <v>4610</v>
          </cell>
        </row>
        <row r="35">
          <cell r="E35">
            <v>4273</v>
          </cell>
        </row>
        <row r="36">
          <cell r="E36">
            <v>136604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49498</v>
          </cell>
        </row>
        <row r="28">
          <cell r="E28">
            <v>105818</v>
          </cell>
        </row>
        <row r="31">
          <cell r="E31">
            <v>3648</v>
          </cell>
        </row>
        <row r="35">
          <cell r="E35">
            <v>11860</v>
          </cell>
        </row>
        <row r="36">
          <cell r="E36">
            <v>170824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6315</v>
          </cell>
        </row>
        <row r="28">
          <cell r="E28">
            <v>20132</v>
          </cell>
        </row>
        <row r="31">
          <cell r="E31">
            <v>533</v>
          </cell>
        </row>
        <row r="35">
          <cell r="E35">
            <v>1230</v>
          </cell>
        </row>
        <row r="36">
          <cell r="E36">
            <v>28210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17028</v>
          </cell>
        </row>
        <row r="28">
          <cell r="E28">
            <v>51609</v>
          </cell>
        </row>
        <row r="31">
          <cell r="E31">
            <v>1375</v>
          </cell>
        </row>
        <row r="35">
          <cell r="E35">
            <v>4965</v>
          </cell>
        </row>
        <row r="36">
          <cell r="E36">
            <v>74977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30042</v>
          </cell>
        </row>
        <row r="28">
          <cell r="E28">
            <v>91149</v>
          </cell>
        </row>
        <row r="31">
          <cell r="E31">
            <v>1355</v>
          </cell>
        </row>
        <row r="35">
          <cell r="E35">
            <v>3556</v>
          </cell>
        </row>
        <row r="36">
          <cell r="E36">
            <v>126102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38925</v>
          </cell>
        </row>
        <row r="28">
          <cell r="E28">
            <v>173629</v>
          </cell>
        </row>
        <row r="31">
          <cell r="E31">
            <v>5922</v>
          </cell>
        </row>
        <row r="35">
          <cell r="E35">
            <v>9084</v>
          </cell>
        </row>
        <row r="36">
          <cell r="E36">
            <v>227560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9412</v>
          </cell>
        </row>
        <row r="28">
          <cell r="E28">
            <v>24553</v>
          </cell>
        </row>
        <row r="31">
          <cell r="E31">
            <v>843</v>
          </cell>
        </row>
        <row r="35">
          <cell r="E35">
            <v>1674</v>
          </cell>
        </row>
        <row r="36">
          <cell r="E36">
            <v>36482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19483</v>
          </cell>
        </row>
        <row r="28">
          <cell r="E28">
            <v>67031</v>
          </cell>
        </row>
        <row r="31">
          <cell r="E31">
            <v>3585</v>
          </cell>
        </row>
        <row r="35">
          <cell r="E35">
            <v>3735</v>
          </cell>
        </row>
        <row r="36">
          <cell r="E36">
            <v>93834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7564</v>
          </cell>
        </row>
        <row r="28">
          <cell r="E28">
            <v>21992</v>
          </cell>
        </row>
        <row r="31">
          <cell r="E31">
            <v>335</v>
          </cell>
        </row>
        <row r="35">
          <cell r="E35">
            <v>734</v>
          </cell>
        </row>
        <row r="36">
          <cell r="E36">
            <v>30625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4654</v>
          </cell>
        </row>
        <row r="28">
          <cell r="E28">
            <v>6691</v>
          </cell>
        </row>
        <row r="31">
          <cell r="E31">
            <v>184</v>
          </cell>
        </row>
        <row r="35">
          <cell r="E35">
            <v>356</v>
          </cell>
        </row>
        <row r="36">
          <cell r="E36">
            <v>11885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23532</v>
          </cell>
        </row>
        <row r="28">
          <cell r="E28">
            <v>69049</v>
          </cell>
        </row>
        <row r="31">
          <cell r="E31">
            <v>3067</v>
          </cell>
        </row>
        <row r="35">
          <cell r="E35">
            <v>3019</v>
          </cell>
        </row>
        <row r="36">
          <cell r="E36">
            <v>98667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24607</v>
          </cell>
        </row>
        <row r="28">
          <cell r="E28">
            <v>46051</v>
          </cell>
        </row>
        <row r="31">
          <cell r="E31">
            <v>1094</v>
          </cell>
        </row>
        <row r="35">
          <cell r="E35">
            <v>4720</v>
          </cell>
        </row>
        <row r="36">
          <cell r="E36">
            <v>76472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16087</v>
          </cell>
        </row>
        <row r="28">
          <cell r="E28">
            <v>42393</v>
          </cell>
        </row>
        <row r="31">
          <cell r="E31">
            <v>739</v>
          </cell>
        </row>
        <row r="35">
          <cell r="E35">
            <v>1984</v>
          </cell>
        </row>
        <row r="36">
          <cell r="E36">
            <v>61203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15049</v>
          </cell>
        </row>
        <row r="28">
          <cell r="E28">
            <v>28835</v>
          </cell>
        </row>
        <row r="31">
          <cell r="E31">
            <v>720</v>
          </cell>
        </row>
        <row r="35">
          <cell r="E35">
            <v>3896</v>
          </cell>
        </row>
        <row r="36">
          <cell r="E36">
            <v>48500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269640</v>
          </cell>
        </row>
        <row r="28">
          <cell r="E28">
            <v>931184</v>
          </cell>
        </row>
        <row r="31">
          <cell r="E31">
            <v>19542</v>
          </cell>
        </row>
        <row r="35">
          <cell r="E35">
            <v>59076</v>
          </cell>
        </row>
        <row r="36">
          <cell r="E36">
            <v>1279442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77338</v>
          </cell>
        </row>
        <row r="28">
          <cell r="E28">
            <v>347801</v>
          </cell>
        </row>
        <row r="31">
          <cell r="E31">
            <v>11711</v>
          </cell>
        </row>
        <row r="35">
          <cell r="E35">
            <v>14322</v>
          </cell>
        </row>
        <row r="36">
          <cell r="E36">
            <v>451172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67719</v>
          </cell>
        </row>
        <row r="28">
          <cell r="E28">
            <v>193523</v>
          </cell>
        </row>
        <row r="31">
          <cell r="E31">
            <v>3818</v>
          </cell>
        </row>
        <row r="35">
          <cell r="E35">
            <v>9672</v>
          </cell>
        </row>
        <row r="36">
          <cell r="E36">
            <v>274732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18672</v>
          </cell>
        </row>
        <row r="28">
          <cell r="E28">
            <v>75039</v>
          </cell>
        </row>
        <row r="31">
          <cell r="E31">
            <v>1003</v>
          </cell>
        </row>
        <row r="35">
          <cell r="E35">
            <v>4479</v>
          </cell>
        </row>
        <row r="36">
          <cell r="E36">
            <v>99193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14355</v>
          </cell>
        </row>
        <row r="28">
          <cell r="E28">
            <v>31587</v>
          </cell>
        </row>
        <row r="31">
          <cell r="E31">
            <v>869</v>
          </cell>
        </row>
        <row r="35">
          <cell r="E35">
            <v>3781</v>
          </cell>
        </row>
        <row r="36">
          <cell r="E36">
            <v>50592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8381</v>
          </cell>
        </row>
        <row r="28">
          <cell r="E28">
            <v>17804</v>
          </cell>
        </row>
        <row r="31">
          <cell r="E31">
            <v>538</v>
          </cell>
        </row>
        <row r="35">
          <cell r="E35">
            <v>1372</v>
          </cell>
        </row>
        <row r="36">
          <cell r="E36">
            <v>28095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36482</v>
          </cell>
        </row>
        <row r="28">
          <cell r="E28">
            <v>34022</v>
          </cell>
        </row>
        <row r="31">
          <cell r="E31">
            <v>1371</v>
          </cell>
        </row>
        <row r="35">
          <cell r="E35">
            <v>3202</v>
          </cell>
        </row>
        <row r="36">
          <cell r="E36">
            <v>75077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46699</v>
          </cell>
        </row>
        <row r="28">
          <cell r="E28">
            <v>157551</v>
          </cell>
        </row>
        <row r="31">
          <cell r="E31">
            <v>2705</v>
          </cell>
        </row>
        <row r="35">
          <cell r="E35">
            <v>12537</v>
          </cell>
        </row>
        <row r="36">
          <cell r="E36">
            <v>219492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49552</v>
          </cell>
        </row>
        <row r="28">
          <cell r="E28">
            <v>120880</v>
          </cell>
        </row>
        <row r="31">
          <cell r="E31">
            <v>2609</v>
          </cell>
        </row>
        <row r="35">
          <cell r="E35">
            <v>9386</v>
          </cell>
        </row>
        <row r="36">
          <cell r="E36">
            <v>182427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12166</v>
          </cell>
        </row>
        <row r="28">
          <cell r="E28">
            <v>21284</v>
          </cell>
        </row>
        <row r="31">
          <cell r="E31">
            <v>1040</v>
          </cell>
        </row>
        <row r="35">
          <cell r="E35">
            <v>2883</v>
          </cell>
        </row>
        <row r="36">
          <cell r="E36">
            <v>37373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14058</v>
          </cell>
        </row>
        <row r="28">
          <cell r="E28">
            <v>33615</v>
          </cell>
        </row>
        <row r="31">
          <cell r="E31">
            <v>820</v>
          </cell>
        </row>
        <row r="35">
          <cell r="E35">
            <v>1935</v>
          </cell>
        </row>
        <row r="36">
          <cell r="E36">
            <v>50428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35627</v>
          </cell>
        </row>
        <row r="28">
          <cell r="E28">
            <v>132230</v>
          </cell>
        </row>
        <row r="31">
          <cell r="E31">
            <v>1866</v>
          </cell>
        </row>
        <row r="35">
          <cell r="E35">
            <v>7593</v>
          </cell>
        </row>
        <row r="36">
          <cell r="E36">
            <v>177316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6103</v>
          </cell>
        </row>
        <row r="28">
          <cell r="E28">
            <v>14204</v>
          </cell>
        </row>
        <row r="31">
          <cell r="E31">
            <v>393</v>
          </cell>
        </row>
        <row r="35">
          <cell r="E35">
            <v>818</v>
          </cell>
        </row>
        <row r="36">
          <cell r="E36">
            <v>21518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78830</v>
          </cell>
        </row>
        <row r="28">
          <cell r="E28">
            <v>315775</v>
          </cell>
        </row>
        <row r="31">
          <cell r="E31">
            <v>9935</v>
          </cell>
        </row>
        <row r="35">
          <cell r="E35">
            <v>14345</v>
          </cell>
        </row>
        <row r="36">
          <cell r="E36">
            <v>418885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3180</v>
          </cell>
        </row>
        <row r="28">
          <cell r="E28">
            <v>7233</v>
          </cell>
        </row>
        <row r="31">
          <cell r="E31">
            <v>416</v>
          </cell>
        </row>
        <row r="35">
          <cell r="E35">
            <v>582</v>
          </cell>
        </row>
        <row r="36">
          <cell r="E36">
            <v>11411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34545</v>
          </cell>
        </row>
        <row r="28">
          <cell r="E28">
            <v>112354</v>
          </cell>
        </row>
        <row r="31">
          <cell r="E31">
            <v>1131</v>
          </cell>
        </row>
        <row r="35">
          <cell r="E35">
            <v>4642</v>
          </cell>
        </row>
        <row r="36">
          <cell r="E36">
            <v>152672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3407</v>
          </cell>
        </row>
        <row r="28">
          <cell r="E28">
            <v>9290</v>
          </cell>
        </row>
        <row r="31">
          <cell r="E31">
            <v>158</v>
          </cell>
        </row>
        <row r="35">
          <cell r="E35">
            <v>423</v>
          </cell>
        </row>
        <row r="36">
          <cell r="E36">
            <v>13278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161035</v>
          </cell>
        </row>
        <row r="28">
          <cell r="E28">
            <v>177929</v>
          </cell>
        </row>
        <row r="31">
          <cell r="E31">
            <v>5494</v>
          </cell>
        </row>
        <row r="35">
          <cell r="E35">
            <v>20014</v>
          </cell>
        </row>
        <row r="36">
          <cell r="E36">
            <v>364472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25696</v>
          </cell>
        </row>
        <row r="28">
          <cell r="E28">
            <v>75793</v>
          </cell>
        </row>
        <row r="31">
          <cell r="E31">
            <v>1324</v>
          </cell>
        </row>
        <row r="35">
          <cell r="E35">
            <v>3423</v>
          </cell>
        </row>
        <row r="36">
          <cell r="E36">
            <v>106236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117993</v>
          </cell>
        </row>
        <row r="28">
          <cell r="E28">
            <v>338076</v>
          </cell>
        </row>
        <row r="31">
          <cell r="E31">
            <v>5397</v>
          </cell>
        </row>
        <row r="35">
          <cell r="E35">
            <v>21131</v>
          </cell>
        </row>
        <row r="36">
          <cell r="E36">
            <v>482597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26187</v>
          </cell>
        </row>
        <row r="28">
          <cell r="E28">
            <v>51876</v>
          </cell>
        </row>
        <row r="31">
          <cell r="E31">
            <v>1336</v>
          </cell>
        </row>
        <row r="35">
          <cell r="E35">
            <v>4319</v>
          </cell>
        </row>
        <row r="36">
          <cell r="E36">
            <v>83718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8606</v>
          </cell>
        </row>
        <row r="28">
          <cell r="E28">
            <v>16215</v>
          </cell>
        </row>
        <row r="31">
          <cell r="E31">
            <v>532</v>
          </cell>
        </row>
        <row r="35">
          <cell r="E35">
            <v>1061</v>
          </cell>
        </row>
        <row r="36">
          <cell r="E36">
            <v>26414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37609</v>
          </cell>
        </row>
        <row r="28">
          <cell r="E28">
            <v>100969</v>
          </cell>
        </row>
        <row r="31">
          <cell r="E31">
            <v>1645</v>
          </cell>
        </row>
        <row r="35">
          <cell r="E35">
            <v>7417</v>
          </cell>
        </row>
        <row r="36">
          <cell r="E36">
            <v>147640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2731</v>
          </cell>
        </row>
        <row r="40">
          <cell r="E40">
            <v>12292</v>
          </cell>
        </row>
        <row r="47">
          <cell r="E47">
            <v>1476</v>
          </cell>
        </row>
        <row r="54">
          <cell r="E54">
            <v>672</v>
          </cell>
        </row>
        <row r="61">
          <cell r="E61">
            <v>17171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2535</v>
          </cell>
        </row>
        <row r="40">
          <cell r="E40">
            <v>15767</v>
          </cell>
        </row>
        <row r="47">
          <cell r="E47">
            <v>2070</v>
          </cell>
        </row>
        <row r="54">
          <cell r="E54">
            <v>667</v>
          </cell>
        </row>
        <row r="61">
          <cell r="E61">
            <v>21039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1941359</v>
          </cell>
        </row>
        <row r="39">
          <cell r="E39">
            <v>6173074</v>
          </cell>
        </row>
        <row r="46">
          <cell r="E46">
            <v>206751</v>
          </cell>
        </row>
        <row r="53">
          <cell r="E53">
            <v>427966</v>
          </cell>
        </row>
        <row r="60">
          <cell r="E60">
            <v>8749452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13863</v>
          </cell>
        </row>
        <row r="28">
          <cell r="E28">
            <v>36535</v>
          </cell>
        </row>
        <row r="31">
          <cell r="E31">
            <v>903</v>
          </cell>
        </row>
        <row r="35">
          <cell r="E35">
            <v>4472</v>
          </cell>
        </row>
        <row r="36">
          <cell r="E36">
            <v>55773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74031</v>
          </cell>
        </row>
        <row r="28">
          <cell r="E28">
            <v>262005</v>
          </cell>
        </row>
        <row r="31">
          <cell r="E31">
            <v>3178</v>
          </cell>
        </row>
        <row r="35">
          <cell r="E35">
            <v>12344</v>
          </cell>
        </row>
        <row r="36">
          <cell r="E36">
            <v>351558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31561</v>
          </cell>
        </row>
        <row r="28">
          <cell r="E28">
            <v>24375</v>
          </cell>
        </row>
        <row r="31">
          <cell r="E31">
            <v>1204</v>
          </cell>
        </row>
        <row r="35">
          <cell r="E35">
            <v>4416</v>
          </cell>
        </row>
        <row r="36">
          <cell r="E36">
            <v>61556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27783</v>
          </cell>
        </row>
        <row r="28">
          <cell r="E28">
            <v>110858</v>
          </cell>
        </row>
        <row r="31">
          <cell r="E31">
            <v>2452</v>
          </cell>
        </row>
        <row r="35">
          <cell r="E35">
            <v>6172</v>
          </cell>
        </row>
        <row r="36">
          <cell r="E36">
            <v>147265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11741</v>
          </cell>
        </row>
        <row r="28">
          <cell r="E28">
            <v>29103</v>
          </cell>
        </row>
        <row r="31">
          <cell r="E31">
            <v>1004</v>
          </cell>
        </row>
        <row r="35">
          <cell r="E35">
            <v>4200</v>
          </cell>
        </row>
        <row r="36">
          <cell r="E36">
            <v>46048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46652</v>
          </cell>
        </row>
        <row r="28">
          <cell r="E28">
            <v>105705</v>
          </cell>
        </row>
        <row r="31">
          <cell r="E31">
            <v>2365</v>
          </cell>
        </row>
        <row r="35">
          <cell r="E35">
            <v>13750</v>
          </cell>
        </row>
        <row r="36">
          <cell r="E36">
            <v>168472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5475</v>
          </cell>
        </row>
        <row r="28">
          <cell r="E28">
            <v>15108</v>
          </cell>
        </row>
        <row r="31">
          <cell r="E31">
            <v>344</v>
          </cell>
        </row>
        <row r="35">
          <cell r="E35">
            <v>678</v>
          </cell>
        </row>
        <row r="36">
          <cell r="E36">
            <v>21605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21528</v>
          </cell>
        </row>
        <row r="28">
          <cell r="E28">
            <v>72790</v>
          </cell>
        </row>
        <row r="31">
          <cell r="E31">
            <v>1561</v>
          </cell>
        </row>
        <row r="35">
          <cell r="E35">
            <v>3941</v>
          </cell>
        </row>
        <row r="36">
          <cell r="E36">
            <v>99820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46774</v>
          </cell>
        </row>
        <row r="28">
          <cell r="E28">
            <v>156386</v>
          </cell>
        </row>
        <row r="31">
          <cell r="E31">
            <v>1593</v>
          </cell>
        </row>
        <row r="35">
          <cell r="E35">
            <v>6949</v>
          </cell>
        </row>
        <row r="36">
          <cell r="E36">
            <v>211702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215388</v>
          </cell>
        </row>
        <row r="28">
          <cell r="E28">
            <v>679507</v>
          </cell>
        </row>
        <row r="31">
          <cell r="E31">
            <v>8874</v>
          </cell>
        </row>
        <row r="35">
          <cell r="E35">
            <v>52610</v>
          </cell>
        </row>
        <row r="36">
          <cell r="E36">
            <v>956379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36788</v>
          </cell>
        </row>
        <row r="28">
          <cell r="E28">
            <v>99850</v>
          </cell>
        </row>
        <row r="31">
          <cell r="E31">
            <v>2117</v>
          </cell>
        </row>
        <row r="35">
          <cell r="E35">
            <v>15457</v>
          </cell>
        </row>
        <row r="36">
          <cell r="E36">
            <v>154212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15244</v>
          </cell>
        </row>
        <row r="28">
          <cell r="E28">
            <v>33723</v>
          </cell>
        </row>
        <row r="31">
          <cell r="E31">
            <v>1088</v>
          </cell>
        </row>
        <row r="35">
          <cell r="E35">
            <v>4259</v>
          </cell>
        </row>
        <row r="36">
          <cell r="E36">
            <v>54314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12434</v>
          </cell>
        </row>
        <row r="28">
          <cell r="E28">
            <v>35366</v>
          </cell>
        </row>
        <row r="31">
          <cell r="E31">
            <v>752</v>
          </cell>
        </row>
        <row r="35">
          <cell r="E35">
            <v>1904</v>
          </cell>
        </row>
        <row r="36">
          <cell r="E36">
            <v>50456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8310</v>
          </cell>
        </row>
        <row r="28">
          <cell r="E28">
            <v>9094</v>
          </cell>
        </row>
        <row r="31">
          <cell r="E31">
            <v>321</v>
          </cell>
        </row>
        <row r="35">
          <cell r="E35">
            <v>1249</v>
          </cell>
        </row>
        <row r="36">
          <cell r="E36">
            <v>18974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43595</v>
          </cell>
        </row>
        <row r="28">
          <cell r="E28">
            <v>182057</v>
          </cell>
        </row>
        <row r="31">
          <cell r="E31">
            <v>5477</v>
          </cell>
        </row>
        <row r="35">
          <cell r="E35">
            <v>7639</v>
          </cell>
        </row>
        <row r="36">
          <cell r="E36">
            <v>238768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30155</v>
          </cell>
        </row>
        <row r="28">
          <cell r="E28">
            <v>73130</v>
          </cell>
        </row>
        <row r="31">
          <cell r="E31">
            <v>1191</v>
          </cell>
        </row>
        <row r="35">
          <cell r="E35">
            <v>6035</v>
          </cell>
        </row>
        <row r="36">
          <cell r="E36">
            <v>110511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23338</v>
          </cell>
        </row>
        <row r="28">
          <cell r="E28">
            <v>73493</v>
          </cell>
        </row>
        <row r="31">
          <cell r="E31">
            <v>1214</v>
          </cell>
        </row>
        <row r="35">
          <cell r="E35">
            <v>5336</v>
          </cell>
        </row>
        <row r="36">
          <cell r="E36">
            <v>103381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16650</v>
          </cell>
        </row>
        <row r="28">
          <cell r="E28">
            <v>52940</v>
          </cell>
        </row>
        <row r="31">
          <cell r="E31">
            <v>907</v>
          </cell>
        </row>
        <row r="35">
          <cell r="E35">
            <v>3678</v>
          </cell>
        </row>
        <row r="36">
          <cell r="E36">
            <v>74175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27200</v>
          </cell>
        </row>
        <row r="28">
          <cell r="E28">
            <v>101955</v>
          </cell>
        </row>
        <row r="31">
          <cell r="E31">
            <v>3737</v>
          </cell>
        </row>
        <row r="35">
          <cell r="E35">
            <v>6410</v>
          </cell>
        </row>
        <row r="36">
          <cell r="E36">
            <v>139302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45375</v>
          </cell>
        </row>
        <row r="28">
          <cell r="E28">
            <v>109542</v>
          </cell>
        </row>
        <row r="31">
          <cell r="E31">
            <v>2921</v>
          </cell>
        </row>
        <row r="35">
          <cell r="E35">
            <v>12215</v>
          </cell>
        </row>
        <row r="36">
          <cell r="E36">
            <v>170053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5667</v>
          </cell>
        </row>
        <row r="28">
          <cell r="E28">
            <v>20663</v>
          </cell>
        </row>
        <row r="31">
          <cell r="E31">
            <v>490</v>
          </cell>
        </row>
        <row r="35">
          <cell r="E35">
            <v>1447</v>
          </cell>
        </row>
        <row r="36">
          <cell r="E36">
            <v>28267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17322</v>
          </cell>
        </row>
        <row r="28">
          <cell r="E28">
            <v>55035</v>
          </cell>
        </row>
        <row r="31">
          <cell r="E31">
            <v>1299</v>
          </cell>
        </row>
        <row r="35">
          <cell r="E35">
            <v>6817</v>
          </cell>
        </row>
        <row r="36">
          <cell r="E36">
            <v>80473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28293</v>
          </cell>
        </row>
        <row r="28">
          <cell r="E28">
            <v>94409</v>
          </cell>
        </row>
        <row r="31">
          <cell r="E31">
            <v>1486</v>
          </cell>
        </row>
        <row r="35">
          <cell r="E35">
            <v>4129</v>
          </cell>
        </row>
        <row r="36">
          <cell r="E36">
            <v>128317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36323</v>
          </cell>
        </row>
        <row r="28">
          <cell r="E28">
            <v>173691</v>
          </cell>
        </row>
        <row r="31">
          <cell r="E31">
            <v>2685</v>
          </cell>
        </row>
        <row r="35">
          <cell r="E35">
            <v>9230</v>
          </cell>
        </row>
        <row r="36">
          <cell r="E36">
            <v>221929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67880</v>
          </cell>
        </row>
        <row r="28">
          <cell r="E28">
            <v>57214</v>
          </cell>
        </row>
        <row r="31">
          <cell r="E31">
            <v>2143</v>
          </cell>
        </row>
        <row r="35">
          <cell r="E35">
            <v>10648</v>
          </cell>
        </row>
        <row r="36">
          <cell r="E36">
            <v>137885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49783</v>
          </cell>
        </row>
        <row r="28">
          <cell r="E28">
            <v>60760</v>
          </cell>
        </row>
        <row r="31">
          <cell r="E31">
            <v>1634</v>
          </cell>
        </row>
        <row r="35">
          <cell r="E35">
            <v>6352</v>
          </cell>
        </row>
        <row r="36">
          <cell r="E36">
            <v>118529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9025</v>
          </cell>
        </row>
        <row r="28">
          <cell r="E28">
            <v>27355</v>
          </cell>
        </row>
        <row r="31">
          <cell r="E31">
            <v>626</v>
          </cell>
        </row>
        <row r="35">
          <cell r="E35">
            <v>2375</v>
          </cell>
        </row>
        <row r="36">
          <cell r="E36">
            <v>39381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17613</v>
          </cell>
        </row>
        <row r="28">
          <cell r="E28">
            <v>70047</v>
          </cell>
        </row>
        <row r="31">
          <cell r="E31">
            <v>2009</v>
          </cell>
        </row>
        <row r="35">
          <cell r="E35">
            <v>4053</v>
          </cell>
        </row>
        <row r="36">
          <cell r="E36">
            <v>93722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7326</v>
          </cell>
        </row>
        <row r="28">
          <cell r="E28">
            <v>21860</v>
          </cell>
        </row>
        <row r="31">
          <cell r="E31">
            <v>368</v>
          </cell>
        </row>
        <row r="35">
          <cell r="E35">
            <v>1092</v>
          </cell>
        </row>
        <row r="36">
          <cell r="E36">
            <v>30646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20163</v>
          </cell>
        </row>
        <row r="28">
          <cell r="E28">
            <v>70516</v>
          </cell>
        </row>
        <row r="31">
          <cell r="E31">
            <v>3147</v>
          </cell>
        </row>
        <row r="35">
          <cell r="E35">
            <v>3490</v>
          </cell>
        </row>
        <row r="36">
          <cell r="E36">
            <v>97316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20805</v>
          </cell>
        </row>
        <row r="28">
          <cell r="E28">
            <v>46965</v>
          </cell>
        </row>
        <row r="31">
          <cell r="E31">
            <v>1051</v>
          </cell>
        </row>
        <row r="35">
          <cell r="E35">
            <v>6479</v>
          </cell>
        </row>
        <row r="36">
          <cell r="E36">
            <v>75300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15280</v>
          </cell>
        </row>
        <row r="28">
          <cell r="E28">
            <v>43196</v>
          </cell>
        </row>
        <row r="31">
          <cell r="E31">
            <v>736</v>
          </cell>
        </row>
        <row r="35">
          <cell r="E35">
            <v>2153</v>
          </cell>
        </row>
        <row r="36">
          <cell r="E36">
            <v>61365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14008</v>
          </cell>
        </row>
        <row r="28">
          <cell r="E28">
            <v>29731</v>
          </cell>
        </row>
        <row r="31">
          <cell r="E31">
            <v>574</v>
          </cell>
        </row>
        <row r="35">
          <cell r="E35">
            <v>3582</v>
          </cell>
        </row>
        <row r="36">
          <cell r="E36">
            <v>47895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247633</v>
          </cell>
        </row>
        <row r="28">
          <cell r="E28">
            <v>948447</v>
          </cell>
        </row>
        <row r="31">
          <cell r="E31">
            <v>19106</v>
          </cell>
        </row>
        <row r="35">
          <cell r="E35">
            <v>62858</v>
          </cell>
        </row>
        <row r="36">
          <cell r="E36">
            <v>1278044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71901</v>
          </cell>
        </row>
        <row r="28">
          <cell r="E28">
            <v>348841</v>
          </cell>
        </row>
        <row r="31">
          <cell r="E31">
            <v>5772</v>
          </cell>
        </row>
        <row r="35">
          <cell r="E35">
            <v>15037</v>
          </cell>
        </row>
        <row r="36">
          <cell r="E36">
            <v>441551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61686</v>
          </cell>
        </row>
        <row r="28">
          <cell r="E28">
            <v>193461</v>
          </cell>
        </row>
        <row r="31">
          <cell r="E31">
            <v>3899</v>
          </cell>
        </row>
        <row r="35">
          <cell r="E35">
            <v>11143</v>
          </cell>
        </row>
        <row r="36">
          <cell r="E36">
            <v>270189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1">
          <cell r="E21">
            <v>4373</v>
          </cell>
        </row>
        <row r="40">
          <cell r="E40">
            <v>8250</v>
          </cell>
        </row>
        <row r="47">
          <cell r="E47">
            <v>927</v>
          </cell>
        </row>
        <row r="54">
          <cell r="E54">
            <v>913</v>
          </cell>
        </row>
        <row r="61">
          <cell r="E61">
            <v>14463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18006</v>
          </cell>
        </row>
        <row r="28">
          <cell r="E28">
            <v>71976</v>
          </cell>
        </row>
        <row r="31">
          <cell r="E31">
            <v>1299</v>
          </cell>
        </row>
        <row r="35">
          <cell r="E35">
            <v>5358</v>
          </cell>
        </row>
        <row r="36">
          <cell r="E36">
            <v>96639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13097</v>
          </cell>
        </row>
        <row r="28">
          <cell r="E28">
            <v>30341</v>
          </cell>
        </row>
        <row r="31">
          <cell r="E31">
            <v>604</v>
          </cell>
        </row>
        <row r="35">
          <cell r="E35">
            <v>3409</v>
          </cell>
        </row>
        <row r="36">
          <cell r="E36">
            <v>47451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6731</v>
          </cell>
        </row>
        <row r="28">
          <cell r="E28">
            <v>18019</v>
          </cell>
        </row>
        <row r="31">
          <cell r="E31">
            <v>650</v>
          </cell>
        </row>
        <row r="35">
          <cell r="E35">
            <v>1546</v>
          </cell>
        </row>
        <row r="36">
          <cell r="E36">
            <v>26946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44831</v>
          </cell>
        </row>
        <row r="28">
          <cell r="E28">
            <v>158882</v>
          </cell>
        </row>
        <row r="31">
          <cell r="E31">
            <v>3035</v>
          </cell>
        </row>
        <row r="35">
          <cell r="E35">
            <v>14167</v>
          </cell>
        </row>
        <row r="36">
          <cell r="E36">
            <v>220915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44971</v>
          </cell>
        </row>
        <row r="28">
          <cell r="E28">
            <v>127422</v>
          </cell>
        </row>
        <row r="31">
          <cell r="E31">
            <v>1745</v>
          </cell>
        </row>
        <row r="35">
          <cell r="E35">
            <v>10161</v>
          </cell>
        </row>
        <row r="36">
          <cell r="E36">
            <v>184299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11127</v>
          </cell>
        </row>
        <row r="28">
          <cell r="E28">
            <v>21797</v>
          </cell>
        </row>
        <row r="31">
          <cell r="E31">
            <v>937</v>
          </cell>
        </row>
        <row r="35">
          <cell r="E35">
            <v>3330</v>
          </cell>
        </row>
        <row r="36">
          <cell r="E36">
            <v>37191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12252</v>
          </cell>
        </row>
        <row r="28">
          <cell r="E28">
            <v>33894</v>
          </cell>
        </row>
        <row r="31">
          <cell r="E31">
            <v>794</v>
          </cell>
        </row>
        <row r="35">
          <cell r="E35">
            <v>2298</v>
          </cell>
        </row>
        <row r="36">
          <cell r="E36">
            <v>49238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35684</v>
          </cell>
        </row>
        <row r="28">
          <cell r="E28">
            <v>130000</v>
          </cell>
        </row>
        <row r="31">
          <cell r="E31">
            <v>2295</v>
          </cell>
        </row>
        <row r="35">
          <cell r="E35">
            <v>8999</v>
          </cell>
        </row>
        <row r="36">
          <cell r="E36">
            <v>176978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5093</v>
          </cell>
        </row>
        <row r="28">
          <cell r="E28">
            <v>15123</v>
          </cell>
        </row>
        <row r="31">
          <cell r="E31">
            <v>405</v>
          </cell>
        </row>
        <row r="35">
          <cell r="E35">
            <v>1193</v>
          </cell>
        </row>
        <row r="36">
          <cell r="E36">
            <v>21814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69090</v>
          </cell>
        </row>
        <row r="28">
          <cell r="E28">
            <v>326237</v>
          </cell>
        </row>
        <row r="31">
          <cell r="E31">
            <v>7246</v>
          </cell>
        </row>
        <row r="35">
          <cell r="E35">
            <v>18241</v>
          </cell>
        </row>
        <row r="36">
          <cell r="E36">
            <v>420814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1">
          <cell r="E21">
            <v>4393</v>
          </cell>
        </row>
        <row r="40">
          <cell r="E40">
            <v>8162</v>
          </cell>
        </row>
        <row r="47">
          <cell r="E47">
            <v>473</v>
          </cell>
        </row>
        <row r="54">
          <cell r="E54">
            <v>882</v>
          </cell>
        </row>
        <row r="61">
          <cell r="E61">
            <v>13910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2982</v>
          </cell>
        </row>
        <row r="28">
          <cell r="E28">
            <v>7693</v>
          </cell>
        </row>
        <row r="31">
          <cell r="E31">
            <v>534</v>
          </cell>
        </row>
        <row r="35">
          <cell r="E35">
            <v>569</v>
          </cell>
        </row>
        <row r="36">
          <cell r="E36">
            <v>11778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32688</v>
          </cell>
        </row>
        <row r="28">
          <cell r="E28">
            <v>116476</v>
          </cell>
        </row>
        <row r="31">
          <cell r="E31">
            <v>1248</v>
          </cell>
        </row>
        <row r="35">
          <cell r="E35">
            <v>4964</v>
          </cell>
        </row>
        <row r="36">
          <cell r="E36">
            <v>155376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2984</v>
          </cell>
        </row>
        <row r="28">
          <cell r="E28">
            <v>9262</v>
          </cell>
        </row>
        <row r="31">
          <cell r="E31">
            <v>204</v>
          </cell>
        </row>
        <row r="35">
          <cell r="E35">
            <v>617</v>
          </cell>
        </row>
        <row r="36">
          <cell r="E36">
            <v>13067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21334</v>
          </cell>
        </row>
        <row r="28">
          <cell r="E28">
            <v>76680</v>
          </cell>
        </row>
        <row r="31">
          <cell r="E31">
            <v>1294</v>
          </cell>
        </row>
        <row r="35">
          <cell r="E35">
            <v>4564</v>
          </cell>
        </row>
        <row r="36">
          <cell r="E36">
            <v>103872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109890</v>
          </cell>
        </row>
        <row r="28">
          <cell r="E28">
            <v>343029</v>
          </cell>
        </row>
        <row r="31">
          <cell r="E31">
            <v>5662</v>
          </cell>
        </row>
        <row r="35">
          <cell r="E35">
            <v>24135</v>
          </cell>
        </row>
        <row r="36">
          <cell r="E36">
            <v>482716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21809</v>
          </cell>
        </row>
        <row r="28">
          <cell r="E28">
            <v>54202</v>
          </cell>
        </row>
        <row r="31">
          <cell r="E31">
            <v>1597</v>
          </cell>
        </row>
        <row r="35">
          <cell r="E35">
            <v>5257</v>
          </cell>
        </row>
        <row r="36">
          <cell r="E36">
            <v>82865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7539</v>
          </cell>
        </row>
        <row r="28">
          <cell r="E28">
            <v>16353</v>
          </cell>
        </row>
        <row r="31">
          <cell r="E31">
            <v>368</v>
          </cell>
        </row>
        <row r="35">
          <cell r="E35">
            <v>1335</v>
          </cell>
        </row>
        <row r="36">
          <cell r="E36">
            <v>25595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32142</v>
          </cell>
        </row>
        <row r="28">
          <cell r="E28">
            <v>99198</v>
          </cell>
        </row>
        <row r="31">
          <cell r="E31">
            <v>1557</v>
          </cell>
        </row>
        <row r="35">
          <cell r="E35">
            <v>8966</v>
          </cell>
        </row>
        <row r="36">
          <cell r="E36">
            <v>141863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2326</v>
          </cell>
        </row>
        <row r="40">
          <cell r="E40">
            <v>14700</v>
          </cell>
        </row>
        <row r="47">
          <cell r="E47">
            <v>694</v>
          </cell>
        </row>
        <row r="54">
          <cell r="E54">
            <v>571</v>
          </cell>
        </row>
        <row r="61">
          <cell r="E61">
            <v>18291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2369</v>
          </cell>
        </row>
        <row r="40">
          <cell r="E40">
            <v>17390</v>
          </cell>
        </row>
        <row r="47">
          <cell r="E47">
            <v>1335</v>
          </cell>
        </row>
        <row r="54">
          <cell r="E54">
            <v>1087</v>
          </cell>
        </row>
        <row r="61">
          <cell r="E61">
            <v>22181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20">
          <cell r="E20">
            <v>2809693</v>
          </cell>
        </row>
        <row r="39">
          <cell r="E39">
            <v>3216590</v>
          </cell>
        </row>
        <row r="46">
          <cell r="E46">
            <v>219265</v>
          </cell>
        </row>
        <row r="53">
          <cell r="E53">
            <v>439583</v>
          </cell>
        </row>
        <row r="60">
          <cell r="E60">
            <v>6685301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1783701</v>
          </cell>
        </row>
        <row r="39">
          <cell r="E39">
            <v>6304617</v>
          </cell>
        </row>
        <row r="46">
          <cell r="E46">
            <v>191344</v>
          </cell>
        </row>
        <row r="53">
          <cell r="E53">
            <v>469329</v>
          </cell>
        </row>
        <row r="60">
          <cell r="E60">
            <v>8749336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15636</v>
          </cell>
        </row>
        <row r="28">
          <cell r="E28">
            <v>36985</v>
          </cell>
        </row>
        <row r="31">
          <cell r="E31">
            <v>1096</v>
          </cell>
        </row>
        <row r="35">
          <cell r="E35">
            <v>3891</v>
          </cell>
        </row>
        <row r="36">
          <cell r="E36">
            <v>57608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83059</v>
          </cell>
        </row>
        <row r="28">
          <cell r="E28">
            <v>269272</v>
          </cell>
        </row>
        <row r="31">
          <cell r="E31">
            <v>3752</v>
          </cell>
        </row>
        <row r="35">
          <cell r="E35">
            <v>13366</v>
          </cell>
        </row>
        <row r="36">
          <cell r="E36">
            <v>369449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33303</v>
          </cell>
        </row>
        <row r="28">
          <cell r="E28">
            <v>117901</v>
          </cell>
        </row>
        <row r="31">
          <cell r="E31">
            <v>2413</v>
          </cell>
        </row>
        <row r="35">
          <cell r="E35">
            <v>5639</v>
          </cell>
        </row>
        <row r="36">
          <cell r="E36">
            <v>159256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13032</v>
          </cell>
        </row>
        <row r="28">
          <cell r="E28">
            <v>29979</v>
          </cell>
        </row>
        <row r="31">
          <cell r="E31">
            <v>1072</v>
          </cell>
        </row>
        <row r="35">
          <cell r="E35">
            <v>3490</v>
          </cell>
        </row>
        <row r="36">
          <cell r="E36">
            <v>47573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50328</v>
          </cell>
        </row>
        <row r="28">
          <cell r="E28">
            <v>106606</v>
          </cell>
        </row>
        <row r="31">
          <cell r="E31">
            <v>2854</v>
          </cell>
        </row>
        <row r="35">
          <cell r="E35">
            <v>12670</v>
          </cell>
        </row>
        <row r="36">
          <cell r="E36">
            <v>172458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5518</v>
          </cell>
        </row>
        <row r="28">
          <cell r="E28">
            <v>16189</v>
          </cell>
        </row>
        <row r="31">
          <cell r="E31">
            <v>367</v>
          </cell>
        </row>
        <row r="35">
          <cell r="E35">
            <v>614</v>
          </cell>
        </row>
        <row r="36">
          <cell r="E36">
            <v>22688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22680</v>
          </cell>
        </row>
        <row r="28">
          <cell r="E28">
            <v>69716</v>
          </cell>
        </row>
        <row r="31">
          <cell r="E31">
            <v>1602</v>
          </cell>
        </row>
        <row r="35">
          <cell r="E35">
            <v>4018</v>
          </cell>
        </row>
        <row r="36">
          <cell r="E36">
            <v>98016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52280</v>
          </cell>
        </row>
        <row r="28">
          <cell r="E28">
            <v>161462</v>
          </cell>
        </row>
        <row r="31">
          <cell r="E31">
            <v>2309</v>
          </cell>
        </row>
        <row r="35">
          <cell r="E35">
            <v>7085</v>
          </cell>
        </row>
        <row r="36">
          <cell r="E36">
            <v>223136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238754</v>
          </cell>
        </row>
        <row r="28">
          <cell r="E28">
            <v>699557</v>
          </cell>
        </row>
        <row r="31">
          <cell r="E31">
            <v>9161</v>
          </cell>
        </row>
        <row r="35">
          <cell r="E35">
            <v>50758</v>
          </cell>
        </row>
        <row r="36">
          <cell r="E36">
            <v>998230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18117</v>
          </cell>
        </row>
        <row r="28">
          <cell r="E28">
            <v>16783</v>
          </cell>
        </row>
        <row r="31">
          <cell r="E31">
            <v>823</v>
          </cell>
        </row>
        <row r="35">
          <cell r="E35">
            <v>2827</v>
          </cell>
        </row>
        <row r="36">
          <cell r="E36">
            <v>38550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39056</v>
          </cell>
        </row>
        <row r="28">
          <cell r="E28">
            <v>103168</v>
          </cell>
        </row>
        <row r="31">
          <cell r="E31">
            <v>2014</v>
          </cell>
        </row>
        <row r="35">
          <cell r="E35">
            <v>10744</v>
          </cell>
        </row>
        <row r="36">
          <cell r="E36">
            <v>154982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15172</v>
          </cell>
        </row>
        <row r="28">
          <cell r="E28">
            <v>35173</v>
          </cell>
        </row>
        <row r="31">
          <cell r="E31">
            <v>1036</v>
          </cell>
        </row>
        <row r="35">
          <cell r="E35">
            <v>3358</v>
          </cell>
        </row>
        <row r="36">
          <cell r="E36">
            <v>54739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12476</v>
          </cell>
        </row>
        <row r="28">
          <cell r="E28">
            <v>36279</v>
          </cell>
        </row>
        <row r="31">
          <cell r="E31">
            <v>760</v>
          </cell>
        </row>
        <row r="35">
          <cell r="E35">
            <v>2201</v>
          </cell>
        </row>
        <row r="36">
          <cell r="E36">
            <v>51716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48826</v>
          </cell>
        </row>
        <row r="28">
          <cell r="E28">
            <v>185592</v>
          </cell>
        </row>
        <row r="31">
          <cell r="E31">
            <v>4627</v>
          </cell>
        </row>
        <row r="35">
          <cell r="E35">
            <v>8407</v>
          </cell>
        </row>
        <row r="36">
          <cell r="E36">
            <v>247452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31064</v>
          </cell>
        </row>
        <row r="28">
          <cell r="E28">
            <v>74851</v>
          </cell>
        </row>
        <row r="31">
          <cell r="E31">
            <v>1467</v>
          </cell>
        </row>
        <row r="35">
          <cell r="E35">
            <v>5290</v>
          </cell>
        </row>
        <row r="36">
          <cell r="E36">
            <v>112672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24192</v>
          </cell>
        </row>
        <row r="28">
          <cell r="E28">
            <v>73447</v>
          </cell>
        </row>
        <row r="31">
          <cell r="E31">
            <v>1465</v>
          </cell>
        </row>
        <row r="35">
          <cell r="E35">
            <v>4779</v>
          </cell>
        </row>
        <row r="36">
          <cell r="E36">
            <v>103883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17837</v>
          </cell>
        </row>
        <row r="28">
          <cell r="E28">
            <v>52606</v>
          </cell>
        </row>
        <row r="31">
          <cell r="E31">
            <v>980</v>
          </cell>
        </row>
        <row r="35">
          <cell r="E35">
            <v>3771</v>
          </cell>
        </row>
        <row r="36">
          <cell r="E36">
            <v>75194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31148</v>
          </cell>
        </row>
        <row r="28">
          <cell r="E28">
            <v>103518</v>
          </cell>
        </row>
        <row r="31">
          <cell r="E31">
            <v>2845</v>
          </cell>
        </row>
        <row r="35">
          <cell r="E35">
            <v>6359</v>
          </cell>
        </row>
        <row r="36">
          <cell r="E36">
            <v>143870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48097</v>
          </cell>
        </row>
        <row r="28">
          <cell r="E28">
            <v>111976</v>
          </cell>
        </row>
        <row r="31">
          <cell r="E31">
            <v>2894</v>
          </cell>
        </row>
        <row r="35">
          <cell r="E35">
            <v>11883</v>
          </cell>
        </row>
        <row r="36">
          <cell r="E36">
            <v>174850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6482</v>
          </cell>
        </row>
        <row r="28">
          <cell r="E28">
            <v>21908</v>
          </cell>
        </row>
        <row r="31">
          <cell r="E31">
            <v>512</v>
          </cell>
        </row>
        <row r="35">
          <cell r="E35">
            <v>1701</v>
          </cell>
        </row>
        <row r="36">
          <cell r="E36">
            <v>30603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105973</v>
          </cell>
        </row>
        <row r="28">
          <cell r="E28">
            <v>106862</v>
          </cell>
        </row>
        <row r="31">
          <cell r="E31">
            <v>4686</v>
          </cell>
        </row>
        <row r="35">
          <cell r="E35">
            <v>12918</v>
          </cell>
        </row>
        <row r="36">
          <cell r="E36">
            <v>230439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18650</v>
          </cell>
        </row>
        <row r="28">
          <cell r="E28">
            <v>57490</v>
          </cell>
        </row>
        <row r="31">
          <cell r="E31">
            <v>1515</v>
          </cell>
        </row>
        <row r="35">
          <cell r="E35">
            <v>4700</v>
          </cell>
        </row>
        <row r="36">
          <cell r="E36">
            <v>82355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30100</v>
          </cell>
        </row>
        <row r="28">
          <cell r="E28">
            <v>93292</v>
          </cell>
        </row>
        <row r="31">
          <cell r="E31">
            <v>1521</v>
          </cell>
        </row>
        <row r="35">
          <cell r="E35">
            <v>4187</v>
          </cell>
        </row>
        <row r="36">
          <cell r="E36">
            <v>129100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41309</v>
          </cell>
        </row>
        <row r="28">
          <cell r="E28">
            <v>172536</v>
          </cell>
        </row>
        <row r="31">
          <cell r="E31">
            <v>3565</v>
          </cell>
        </row>
        <row r="35">
          <cell r="E35">
            <v>9879</v>
          </cell>
        </row>
        <row r="36">
          <cell r="E36">
            <v>227289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9104</v>
          </cell>
        </row>
        <row r="28">
          <cell r="E28">
            <v>29862</v>
          </cell>
        </row>
        <row r="31">
          <cell r="E31">
            <v>693</v>
          </cell>
        </row>
        <row r="35">
          <cell r="E35">
            <v>2521</v>
          </cell>
        </row>
        <row r="36">
          <cell r="E36">
            <v>42180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20159</v>
          </cell>
        </row>
        <row r="28">
          <cell r="E28">
            <v>71142</v>
          </cell>
        </row>
        <row r="31">
          <cell r="E31">
            <v>1708</v>
          </cell>
        </row>
        <row r="35">
          <cell r="E35">
            <v>4437</v>
          </cell>
        </row>
        <row r="36">
          <cell r="E36">
            <v>97446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8133</v>
          </cell>
        </row>
        <row r="28">
          <cell r="E28">
            <v>22248</v>
          </cell>
        </row>
        <row r="31">
          <cell r="E31">
            <v>454</v>
          </cell>
        </row>
        <row r="35">
          <cell r="E35">
            <v>923</v>
          </cell>
        </row>
        <row r="36">
          <cell r="E36">
            <v>31758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23495</v>
          </cell>
        </row>
        <row r="28">
          <cell r="E28">
            <v>74546</v>
          </cell>
        </row>
        <row r="31">
          <cell r="E31">
            <v>2627</v>
          </cell>
        </row>
        <row r="35">
          <cell r="E35">
            <v>3442</v>
          </cell>
        </row>
        <row r="36">
          <cell r="E36">
            <v>104110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21933</v>
          </cell>
        </row>
        <row r="28">
          <cell r="E28">
            <v>49794</v>
          </cell>
        </row>
        <row r="31">
          <cell r="E31">
            <v>1261</v>
          </cell>
        </row>
        <row r="35">
          <cell r="E35">
            <v>5995</v>
          </cell>
        </row>
        <row r="36">
          <cell r="E36">
            <v>78983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15949</v>
          </cell>
        </row>
        <row r="28">
          <cell r="E28">
            <v>41693</v>
          </cell>
        </row>
        <row r="31">
          <cell r="E31">
            <v>657</v>
          </cell>
        </row>
        <row r="35">
          <cell r="E35">
            <v>2084</v>
          </cell>
        </row>
        <row r="36">
          <cell r="E36">
            <v>60383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13978</v>
          </cell>
        </row>
        <row r="28">
          <cell r="E28">
            <v>27533</v>
          </cell>
        </row>
        <row r="31">
          <cell r="E31">
            <v>834</v>
          </cell>
        </row>
        <row r="35">
          <cell r="E35">
            <v>3263</v>
          </cell>
        </row>
        <row r="36">
          <cell r="E36">
            <v>45608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37503</v>
          </cell>
        </row>
        <row r="28">
          <cell r="E28">
            <v>46805</v>
          </cell>
        </row>
        <row r="31">
          <cell r="E31">
            <v>1952</v>
          </cell>
        </row>
        <row r="35">
          <cell r="E35">
            <v>6379</v>
          </cell>
        </row>
        <row r="36">
          <cell r="E36">
            <v>92639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278623</v>
          </cell>
        </row>
        <row r="28">
          <cell r="E28">
            <v>986435</v>
          </cell>
        </row>
        <row r="31">
          <cell r="E31">
            <v>24677</v>
          </cell>
        </row>
        <row r="35">
          <cell r="E35">
            <v>61805</v>
          </cell>
        </row>
        <row r="36">
          <cell r="E36">
            <v>1351540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83558</v>
          </cell>
        </row>
        <row r="28">
          <cell r="E28">
            <v>357986</v>
          </cell>
        </row>
        <row r="31">
          <cell r="E31">
            <v>6325</v>
          </cell>
        </row>
        <row r="35">
          <cell r="E35">
            <v>16177</v>
          </cell>
        </row>
        <row r="36">
          <cell r="E36">
            <v>464046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68780</v>
          </cell>
        </row>
        <row r="28">
          <cell r="E28">
            <v>196565</v>
          </cell>
        </row>
        <row r="31">
          <cell r="E31">
            <v>6021</v>
          </cell>
        </row>
        <row r="35">
          <cell r="E35">
            <v>12019</v>
          </cell>
        </row>
        <row r="36">
          <cell r="E36">
            <v>283385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19297</v>
          </cell>
        </row>
        <row r="28">
          <cell r="E28">
            <v>64122</v>
          </cell>
        </row>
        <row r="31">
          <cell r="E31">
            <v>1505</v>
          </cell>
        </row>
        <row r="35">
          <cell r="E35">
            <v>4778</v>
          </cell>
        </row>
        <row r="36">
          <cell r="E36">
            <v>89702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12092</v>
          </cell>
        </row>
        <row r="28">
          <cell r="E28">
            <v>29257</v>
          </cell>
        </row>
        <row r="31">
          <cell r="E31">
            <v>739</v>
          </cell>
        </row>
        <row r="35">
          <cell r="E35">
            <v>3368</v>
          </cell>
        </row>
        <row r="36">
          <cell r="E36">
            <v>45456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6991</v>
          </cell>
        </row>
        <row r="28">
          <cell r="E28">
            <v>18503</v>
          </cell>
        </row>
        <row r="31">
          <cell r="E31">
            <v>499</v>
          </cell>
        </row>
        <row r="35">
          <cell r="E35">
            <v>1591</v>
          </cell>
        </row>
        <row r="36">
          <cell r="E36">
            <v>27584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54175</v>
          </cell>
        </row>
        <row r="28">
          <cell r="E28">
            <v>158179</v>
          </cell>
        </row>
        <row r="31">
          <cell r="E31">
            <v>2916</v>
          </cell>
        </row>
        <row r="35">
          <cell r="E35">
            <v>13572</v>
          </cell>
        </row>
        <row r="36">
          <cell r="E36">
            <v>228842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47967</v>
          </cell>
        </row>
        <row r="28">
          <cell r="E28">
            <v>127820</v>
          </cell>
        </row>
        <row r="31">
          <cell r="E31">
            <v>2295</v>
          </cell>
        </row>
        <row r="35">
          <cell r="E35">
            <v>9934</v>
          </cell>
        </row>
        <row r="36">
          <cell r="E36">
            <v>188016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11927</v>
          </cell>
        </row>
        <row r="28">
          <cell r="E28">
            <v>23115</v>
          </cell>
        </row>
        <row r="31">
          <cell r="E31">
            <v>741</v>
          </cell>
        </row>
        <row r="35">
          <cell r="E35">
            <v>2900</v>
          </cell>
        </row>
        <row r="36">
          <cell r="E36">
            <v>38683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13446</v>
          </cell>
        </row>
        <row r="28">
          <cell r="E28">
            <v>35961</v>
          </cell>
        </row>
        <row r="31">
          <cell r="E31">
            <v>908</v>
          </cell>
        </row>
        <row r="35">
          <cell r="E35">
            <v>2469</v>
          </cell>
        </row>
        <row r="36">
          <cell r="E36">
            <v>52784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17460</v>
          </cell>
        </row>
        <row r="28">
          <cell r="E28">
            <v>12341</v>
          </cell>
        </row>
        <row r="31">
          <cell r="E31">
            <v>2387</v>
          </cell>
        </row>
        <row r="35">
          <cell r="E35">
            <v>3794</v>
          </cell>
        </row>
        <row r="36">
          <cell r="E36">
            <v>35982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43686</v>
          </cell>
        </row>
        <row r="28">
          <cell r="E28">
            <v>138511</v>
          </cell>
        </row>
        <row r="31">
          <cell r="E31">
            <v>2102</v>
          </cell>
        </row>
        <row r="35">
          <cell r="E35">
            <v>8024</v>
          </cell>
        </row>
        <row r="36">
          <cell r="E36">
            <v>192323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5682</v>
          </cell>
        </row>
        <row r="28">
          <cell r="E28">
            <v>15873</v>
          </cell>
        </row>
        <row r="31">
          <cell r="E31">
            <v>417</v>
          </cell>
        </row>
        <row r="35">
          <cell r="E35">
            <v>958</v>
          </cell>
        </row>
        <row r="36">
          <cell r="E36">
            <v>22930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79810</v>
          </cell>
        </row>
        <row r="28">
          <cell r="E28">
            <v>317419</v>
          </cell>
        </row>
        <row r="31">
          <cell r="E31">
            <v>7680</v>
          </cell>
        </row>
        <row r="35">
          <cell r="E35">
            <v>16377</v>
          </cell>
        </row>
        <row r="36">
          <cell r="E36">
            <v>421286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3519</v>
          </cell>
        </row>
        <row r="28">
          <cell r="E28">
            <v>8800</v>
          </cell>
        </row>
        <row r="31">
          <cell r="E31">
            <v>552</v>
          </cell>
        </row>
        <row r="35">
          <cell r="E35">
            <v>520</v>
          </cell>
        </row>
        <row r="36">
          <cell r="E36">
            <v>13391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36652</v>
          </cell>
        </row>
        <row r="28">
          <cell r="E28">
            <v>121194</v>
          </cell>
        </row>
        <row r="31">
          <cell r="E31">
            <v>1422</v>
          </cell>
        </row>
        <row r="35">
          <cell r="E35">
            <v>5061</v>
          </cell>
        </row>
        <row r="36">
          <cell r="E36">
            <v>164329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3217</v>
          </cell>
        </row>
        <row r="28">
          <cell r="E28">
            <v>9197</v>
          </cell>
        </row>
        <row r="31">
          <cell r="E31">
            <v>273</v>
          </cell>
        </row>
        <row r="35">
          <cell r="E35">
            <v>607</v>
          </cell>
        </row>
        <row r="36">
          <cell r="E36">
            <v>13294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22958</v>
          </cell>
        </row>
        <row r="28">
          <cell r="E28">
            <v>78432</v>
          </cell>
        </row>
        <row r="31">
          <cell r="E31">
            <v>1573</v>
          </cell>
        </row>
        <row r="35">
          <cell r="E35">
            <v>5818</v>
          </cell>
        </row>
        <row r="36">
          <cell r="E36">
            <v>108781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119951</v>
          </cell>
        </row>
        <row r="28">
          <cell r="E28">
            <v>357365</v>
          </cell>
        </row>
        <row r="31">
          <cell r="E31">
            <v>6632</v>
          </cell>
        </row>
        <row r="35">
          <cell r="E35">
            <v>23967</v>
          </cell>
        </row>
        <row r="36">
          <cell r="E36">
            <v>507915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22695</v>
          </cell>
        </row>
        <row r="28">
          <cell r="E28">
            <v>54741</v>
          </cell>
        </row>
        <row r="31">
          <cell r="E31">
            <v>1605</v>
          </cell>
        </row>
        <row r="35">
          <cell r="E35">
            <v>5031</v>
          </cell>
        </row>
        <row r="36">
          <cell r="E36">
            <v>84072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7099</v>
          </cell>
        </row>
        <row r="28">
          <cell r="E28">
            <v>16700</v>
          </cell>
        </row>
        <row r="31">
          <cell r="E31">
            <v>425</v>
          </cell>
        </row>
        <row r="35">
          <cell r="E35">
            <v>1357</v>
          </cell>
        </row>
        <row r="36">
          <cell r="E36">
            <v>25581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62168</v>
          </cell>
        </row>
        <row r="28">
          <cell r="E28">
            <v>51603</v>
          </cell>
        </row>
        <row r="31">
          <cell r="E31">
            <v>2554</v>
          </cell>
        </row>
        <row r="35">
          <cell r="E35">
            <v>11454</v>
          </cell>
        </row>
        <row r="36">
          <cell r="E36">
            <v>127779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36570</v>
          </cell>
        </row>
        <row r="28">
          <cell r="E28">
            <v>106399</v>
          </cell>
        </row>
        <row r="31">
          <cell r="E31">
            <v>1888</v>
          </cell>
        </row>
        <row r="35">
          <cell r="E35">
            <v>8426</v>
          </cell>
        </row>
        <row r="36">
          <cell r="E36">
            <v>153283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2421</v>
          </cell>
        </row>
        <row r="40">
          <cell r="E40">
            <v>16780</v>
          </cell>
        </row>
        <row r="47">
          <cell r="E47">
            <v>1045</v>
          </cell>
        </row>
        <row r="54">
          <cell r="E54">
            <v>457</v>
          </cell>
        </row>
        <row r="61">
          <cell r="E61">
            <v>20703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2666</v>
          </cell>
        </row>
        <row r="40">
          <cell r="E40">
            <v>16441</v>
          </cell>
        </row>
        <row r="47">
          <cell r="E47">
            <v>1438</v>
          </cell>
        </row>
        <row r="54">
          <cell r="E54">
            <v>692</v>
          </cell>
        </row>
        <row r="61">
          <cell r="E61">
            <v>21237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1975569</v>
          </cell>
        </row>
        <row r="39">
          <cell r="E39">
            <v>6442314</v>
          </cell>
        </row>
        <row r="46">
          <cell r="E46">
            <v>226055</v>
          </cell>
        </row>
        <row r="53">
          <cell r="E53">
            <v>463810</v>
          </cell>
        </row>
        <row r="60">
          <cell r="E60">
            <v>9108037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14634</v>
          </cell>
        </row>
        <row r="28">
          <cell r="E28">
            <v>37813</v>
          </cell>
        </row>
        <row r="31">
          <cell r="E31">
            <v>1376</v>
          </cell>
        </row>
        <row r="35">
          <cell r="E35">
            <v>3116</v>
          </cell>
        </row>
        <row r="36">
          <cell r="E36">
            <v>56939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80398</v>
          </cell>
        </row>
        <row r="28">
          <cell r="E28">
            <v>273814</v>
          </cell>
        </row>
        <row r="31">
          <cell r="E31">
            <v>4959</v>
          </cell>
        </row>
        <row r="35">
          <cell r="E35">
            <v>11922</v>
          </cell>
        </row>
        <row r="36">
          <cell r="E36">
            <v>371093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32604</v>
          </cell>
        </row>
        <row r="28">
          <cell r="E28">
            <v>106870</v>
          </cell>
        </row>
        <row r="31">
          <cell r="E31">
            <v>3609</v>
          </cell>
        </row>
        <row r="35">
          <cell r="E35">
            <v>5593</v>
          </cell>
        </row>
        <row r="36">
          <cell r="E36">
            <v>148676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11345</v>
          </cell>
        </row>
        <row r="28">
          <cell r="E28">
            <v>31835</v>
          </cell>
        </row>
        <row r="31">
          <cell r="E31">
            <v>1444</v>
          </cell>
        </row>
        <row r="35">
          <cell r="E35">
            <v>3087</v>
          </cell>
        </row>
        <row r="36">
          <cell r="E36">
            <v>47711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46841</v>
          </cell>
        </row>
        <row r="28">
          <cell r="E28">
            <v>107727</v>
          </cell>
        </row>
        <row r="31">
          <cell r="E31">
            <v>3634</v>
          </cell>
        </row>
        <row r="35">
          <cell r="E35">
            <v>12064</v>
          </cell>
        </row>
        <row r="36">
          <cell r="E36">
            <v>170266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5459</v>
          </cell>
        </row>
        <row r="28">
          <cell r="E28">
            <v>16196</v>
          </cell>
        </row>
        <row r="31">
          <cell r="E31">
            <v>337</v>
          </cell>
        </row>
        <row r="35">
          <cell r="E35">
            <v>529</v>
          </cell>
        </row>
        <row r="36">
          <cell r="E36">
            <v>22521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5805</v>
          </cell>
        </row>
        <row r="28">
          <cell r="E28">
            <v>7182</v>
          </cell>
        </row>
        <row r="31">
          <cell r="E31">
            <v>283</v>
          </cell>
        </row>
        <row r="35">
          <cell r="E35">
            <v>907</v>
          </cell>
        </row>
        <row r="36">
          <cell r="E36">
            <v>14177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21808</v>
          </cell>
        </row>
        <row r="28">
          <cell r="E28">
            <v>74370</v>
          </cell>
        </row>
        <row r="31">
          <cell r="E31">
            <v>2014</v>
          </cell>
        </row>
        <row r="35">
          <cell r="E35">
            <v>3175</v>
          </cell>
        </row>
        <row r="36">
          <cell r="E36">
            <v>101367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50520</v>
          </cell>
        </row>
        <row r="28">
          <cell r="E28">
            <v>154712</v>
          </cell>
        </row>
        <row r="31">
          <cell r="E31">
            <v>2792</v>
          </cell>
        </row>
        <row r="35">
          <cell r="E35">
            <v>7760</v>
          </cell>
        </row>
        <row r="36">
          <cell r="E36">
            <v>215784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223899</v>
          </cell>
        </row>
        <row r="28">
          <cell r="E28">
            <v>705478</v>
          </cell>
        </row>
        <row r="31">
          <cell r="E31">
            <v>11275</v>
          </cell>
        </row>
        <row r="35">
          <cell r="E35">
            <v>47403</v>
          </cell>
        </row>
        <row r="36">
          <cell r="E36">
            <v>988055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38332</v>
          </cell>
        </row>
        <row r="28">
          <cell r="E28">
            <v>100468</v>
          </cell>
        </row>
        <row r="31">
          <cell r="E31">
            <v>2892</v>
          </cell>
        </row>
        <row r="35">
          <cell r="E35">
            <v>9329</v>
          </cell>
        </row>
        <row r="36">
          <cell r="E36">
            <v>151021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14580</v>
          </cell>
        </row>
        <row r="28">
          <cell r="E28">
            <v>37358</v>
          </cell>
        </row>
        <row r="31">
          <cell r="E31">
            <v>1294</v>
          </cell>
        </row>
        <row r="35">
          <cell r="E35">
            <v>2894</v>
          </cell>
        </row>
        <row r="36">
          <cell r="E36">
            <v>56126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11040</v>
          </cell>
        </row>
        <row r="28">
          <cell r="E28">
            <v>35419</v>
          </cell>
        </row>
        <row r="31">
          <cell r="E31">
            <v>777</v>
          </cell>
        </row>
        <row r="35">
          <cell r="E35">
            <v>1728</v>
          </cell>
        </row>
        <row r="36">
          <cell r="E36">
            <v>48964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47832</v>
          </cell>
        </row>
        <row r="28">
          <cell r="E28">
            <v>179810</v>
          </cell>
        </row>
        <row r="31">
          <cell r="E31">
            <v>7103</v>
          </cell>
        </row>
        <row r="35">
          <cell r="E35">
            <v>8401</v>
          </cell>
        </row>
        <row r="36">
          <cell r="E36">
            <v>243146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27511</v>
          </cell>
        </row>
        <row r="28">
          <cell r="E28">
            <v>74635</v>
          </cell>
        </row>
        <row r="31">
          <cell r="E31">
            <v>2367</v>
          </cell>
        </row>
        <row r="35">
          <cell r="E35">
            <v>5009</v>
          </cell>
        </row>
        <row r="36">
          <cell r="E36">
            <v>109522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24632</v>
          </cell>
        </row>
        <row r="28">
          <cell r="E28">
            <v>78838</v>
          </cell>
        </row>
        <row r="31">
          <cell r="E31">
            <v>1729</v>
          </cell>
        </row>
        <row r="35">
          <cell r="E35">
            <v>4886</v>
          </cell>
        </row>
        <row r="36">
          <cell r="E36">
            <v>110085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16485</v>
          </cell>
        </row>
        <row r="28">
          <cell r="E28">
            <v>55764</v>
          </cell>
        </row>
        <row r="31">
          <cell r="E31">
            <v>1227</v>
          </cell>
        </row>
        <row r="35">
          <cell r="E35">
            <v>3699</v>
          </cell>
        </row>
        <row r="36">
          <cell r="E36">
            <v>77175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6248</v>
          </cell>
        </row>
        <row r="28">
          <cell r="E28">
            <v>8010</v>
          </cell>
        </row>
        <row r="31">
          <cell r="E31">
            <v>296</v>
          </cell>
        </row>
        <row r="35">
          <cell r="E35">
            <v>854</v>
          </cell>
        </row>
        <row r="36">
          <cell r="E36">
            <v>15408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30725</v>
          </cell>
        </row>
        <row r="28">
          <cell r="E28">
            <v>33963</v>
          </cell>
        </row>
        <row r="31">
          <cell r="E31">
            <v>1147</v>
          </cell>
        </row>
        <row r="35">
          <cell r="E35">
            <v>3882</v>
          </cell>
        </row>
        <row r="36">
          <cell r="E36">
            <v>69717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29026</v>
          </cell>
        </row>
        <row r="28">
          <cell r="E28">
            <v>103861</v>
          </cell>
        </row>
        <row r="31">
          <cell r="E31">
            <v>3491</v>
          </cell>
        </row>
        <row r="35">
          <cell r="E35">
            <v>6061</v>
          </cell>
        </row>
        <row r="36">
          <cell r="E36">
            <v>142439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44096</v>
          </cell>
        </row>
        <row r="28">
          <cell r="E28">
            <v>131259</v>
          </cell>
        </row>
        <row r="31">
          <cell r="E31">
            <v>3997</v>
          </cell>
        </row>
        <row r="35">
          <cell r="E35">
            <v>11224</v>
          </cell>
        </row>
        <row r="36">
          <cell r="E36">
            <v>190576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5647</v>
          </cell>
        </row>
        <row r="28">
          <cell r="E28">
            <v>23004</v>
          </cell>
        </row>
        <row r="31">
          <cell r="E31">
            <v>653</v>
          </cell>
        </row>
        <row r="35">
          <cell r="E35">
            <v>1349</v>
          </cell>
        </row>
        <row r="36">
          <cell r="E36">
            <v>30653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19798</v>
          </cell>
        </row>
        <row r="28">
          <cell r="E28">
            <v>58646</v>
          </cell>
        </row>
        <row r="31">
          <cell r="E31">
            <v>1701</v>
          </cell>
        </row>
        <row r="35">
          <cell r="E35">
            <v>4714</v>
          </cell>
        </row>
        <row r="36">
          <cell r="E36">
            <v>84859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29030</v>
          </cell>
        </row>
        <row r="28">
          <cell r="E28">
            <v>97513</v>
          </cell>
        </row>
        <row r="31">
          <cell r="E31">
            <v>1572</v>
          </cell>
        </row>
        <row r="35">
          <cell r="E35">
            <v>4386</v>
          </cell>
        </row>
        <row r="36">
          <cell r="E36">
            <v>132501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38669</v>
          </cell>
        </row>
        <row r="28">
          <cell r="E28">
            <v>174786</v>
          </cell>
        </row>
        <row r="31">
          <cell r="E31">
            <v>4806</v>
          </cell>
        </row>
        <row r="35">
          <cell r="E35">
            <v>8898</v>
          </cell>
        </row>
        <row r="36">
          <cell r="E36">
            <v>227159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9206</v>
          </cell>
        </row>
        <row r="28">
          <cell r="E28">
            <v>30014</v>
          </cell>
        </row>
        <row r="31">
          <cell r="E31">
            <v>1286</v>
          </cell>
        </row>
        <row r="35">
          <cell r="E35">
            <v>2209</v>
          </cell>
        </row>
        <row r="36">
          <cell r="E36">
            <v>42715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18991</v>
          </cell>
        </row>
        <row r="28">
          <cell r="E28">
            <v>70713</v>
          </cell>
        </row>
        <row r="31">
          <cell r="E31">
            <v>3305</v>
          </cell>
        </row>
        <row r="35">
          <cell r="E35">
            <v>4010</v>
          </cell>
        </row>
        <row r="36">
          <cell r="E36">
            <v>97019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8020</v>
          </cell>
        </row>
        <row r="28">
          <cell r="E28">
            <v>21595</v>
          </cell>
        </row>
        <row r="31">
          <cell r="E31">
            <v>602</v>
          </cell>
        </row>
        <row r="35">
          <cell r="E35">
            <v>897</v>
          </cell>
        </row>
        <row r="36">
          <cell r="E36">
            <v>31114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22208</v>
          </cell>
        </row>
        <row r="28">
          <cell r="E28">
            <v>79934</v>
          </cell>
        </row>
        <row r="31">
          <cell r="E31">
            <v>2903</v>
          </cell>
        </row>
        <row r="35">
          <cell r="E35">
            <v>3368</v>
          </cell>
        </row>
        <row r="36">
          <cell r="E36">
            <v>108413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66755</v>
          </cell>
        </row>
        <row r="28">
          <cell r="E28">
            <v>69881</v>
          </cell>
        </row>
        <row r="31">
          <cell r="E31">
            <v>2999</v>
          </cell>
        </row>
        <row r="35">
          <cell r="E35">
            <v>7492</v>
          </cell>
        </row>
        <row r="36">
          <cell r="E36">
            <v>147127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19754</v>
          </cell>
        </row>
        <row r="28">
          <cell r="E28">
            <v>52149</v>
          </cell>
        </row>
        <row r="31">
          <cell r="E31">
            <v>1734</v>
          </cell>
        </row>
        <row r="35">
          <cell r="E35">
            <v>4887</v>
          </cell>
        </row>
        <row r="36">
          <cell r="E36">
            <v>78524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15746</v>
          </cell>
        </row>
        <row r="28">
          <cell r="E28">
            <v>40347</v>
          </cell>
        </row>
        <row r="31">
          <cell r="E31">
            <v>754</v>
          </cell>
        </row>
        <row r="35">
          <cell r="E35">
            <v>1732</v>
          </cell>
        </row>
        <row r="36">
          <cell r="E36">
            <v>58579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12904</v>
          </cell>
        </row>
        <row r="28">
          <cell r="E28">
            <v>28932</v>
          </cell>
        </row>
        <row r="31">
          <cell r="E31">
            <v>1125</v>
          </cell>
        </row>
        <row r="35">
          <cell r="E35">
            <v>2949</v>
          </cell>
        </row>
        <row r="36">
          <cell r="E36">
            <v>45910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260964</v>
          </cell>
        </row>
        <row r="28">
          <cell r="E28">
            <v>1009558</v>
          </cell>
        </row>
        <row r="31">
          <cell r="E31">
            <v>39743</v>
          </cell>
        </row>
        <row r="35">
          <cell r="E35">
            <v>56475</v>
          </cell>
        </row>
        <row r="36">
          <cell r="E36">
            <v>1366740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81029</v>
          </cell>
        </row>
        <row r="28">
          <cell r="E28">
            <v>352181</v>
          </cell>
        </row>
        <row r="31">
          <cell r="E31">
            <v>7789</v>
          </cell>
        </row>
        <row r="35">
          <cell r="E35">
            <v>15138</v>
          </cell>
        </row>
        <row r="36">
          <cell r="E36">
            <v>456137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62083</v>
          </cell>
        </row>
        <row r="28">
          <cell r="E28">
            <v>201693</v>
          </cell>
        </row>
        <row r="31">
          <cell r="E31">
            <v>7630</v>
          </cell>
        </row>
        <row r="35">
          <cell r="E35">
            <v>11663</v>
          </cell>
        </row>
        <row r="36">
          <cell r="E36">
            <v>283069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19041</v>
          </cell>
        </row>
        <row r="28">
          <cell r="E28">
            <v>62895</v>
          </cell>
        </row>
        <row r="31">
          <cell r="E31">
            <v>2253</v>
          </cell>
        </row>
        <row r="35">
          <cell r="E35">
            <v>3830</v>
          </cell>
        </row>
        <row r="36">
          <cell r="E36">
            <v>88019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10812</v>
          </cell>
        </row>
        <row r="28">
          <cell r="E28">
            <v>30597</v>
          </cell>
        </row>
        <row r="31">
          <cell r="E31">
            <v>959</v>
          </cell>
        </row>
        <row r="35">
          <cell r="E35">
            <v>3438</v>
          </cell>
        </row>
        <row r="36">
          <cell r="E36">
            <v>45806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6370</v>
          </cell>
        </row>
        <row r="28">
          <cell r="E28">
            <v>19821</v>
          </cell>
        </row>
        <row r="31">
          <cell r="E31">
            <v>478</v>
          </cell>
        </row>
        <row r="35">
          <cell r="E35">
            <v>1476</v>
          </cell>
        </row>
        <row r="36">
          <cell r="E36">
            <v>28145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53008</v>
          </cell>
        </row>
        <row r="28">
          <cell r="E28">
            <v>161824</v>
          </cell>
        </row>
        <row r="31">
          <cell r="E31">
            <v>3557</v>
          </cell>
        </row>
        <row r="35">
          <cell r="E35">
            <v>14403</v>
          </cell>
        </row>
        <row r="36">
          <cell r="E36">
            <v>232792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312864</v>
          </cell>
        </row>
        <row r="28">
          <cell r="E28">
            <v>333915</v>
          </cell>
        </row>
        <row r="31">
          <cell r="E31">
            <v>10216</v>
          </cell>
        </row>
        <row r="35">
          <cell r="E35">
            <v>44459</v>
          </cell>
        </row>
        <row r="36">
          <cell r="E36">
            <v>701454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43092</v>
          </cell>
        </row>
        <row r="28">
          <cell r="E28">
            <v>140580</v>
          </cell>
        </row>
        <row r="31">
          <cell r="E31">
            <v>2633</v>
          </cell>
        </row>
        <row r="35">
          <cell r="E35">
            <v>9640</v>
          </cell>
        </row>
        <row r="36">
          <cell r="E36">
            <v>195945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11896</v>
          </cell>
        </row>
        <row r="28">
          <cell r="E28">
            <v>24460</v>
          </cell>
        </row>
        <row r="31">
          <cell r="E31">
            <v>1515</v>
          </cell>
        </row>
        <row r="35">
          <cell r="E35">
            <v>2539</v>
          </cell>
        </row>
        <row r="36">
          <cell r="E36">
            <v>40410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12853</v>
          </cell>
        </row>
        <row r="28">
          <cell r="E28">
            <v>36132</v>
          </cell>
        </row>
        <row r="31">
          <cell r="E31">
            <v>1162</v>
          </cell>
        </row>
        <row r="35">
          <cell r="E35">
            <v>2330</v>
          </cell>
        </row>
        <row r="36">
          <cell r="E36">
            <v>52477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42813</v>
          </cell>
        </row>
        <row r="28">
          <cell r="E28">
            <v>133849</v>
          </cell>
        </row>
        <row r="31">
          <cell r="E31">
            <v>2519</v>
          </cell>
        </row>
        <row r="35">
          <cell r="E35">
            <v>7586</v>
          </cell>
        </row>
        <row r="36">
          <cell r="E36">
            <v>186767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5612</v>
          </cell>
        </row>
        <row r="28">
          <cell r="E28">
            <v>16241</v>
          </cell>
        </row>
        <row r="31">
          <cell r="E31">
            <v>511</v>
          </cell>
        </row>
        <row r="35">
          <cell r="E35">
            <v>874</v>
          </cell>
        </row>
        <row r="36">
          <cell r="E36">
            <v>23238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75000</v>
          </cell>
        </row>
        <row r="28">
          <cell r="E28">
            <v>320020</v>
          </cell>
        </row>
        <row r="31">
          <cell r="E31">
            <v>10605</v>
          </cell>
        </row>
        <row r="35">
          <cell r="E35">
            <v>15519</v>
          </cell>
        </row>
        <row r="36">
          <cell r="E36">
            <v>421144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3246</v>
          </cell>
        </row>
        <row r="28">
          <cell r="E28">
            <v>9417</v>
          </cell>
        </row>
        <row r="31">
          <cell r="E31">
            <v>609</v>
          </cell>
        </row>
        <row r="35">
          <cell r="E35">
            <v>515</v>
          </cell>
        </row>
        <row r="36">
          <cell r="E36">
            <v>13787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33296</v>
          </cell>
        </row>
        <row r="28">
          <cell r="E28">
            <v>125090</v>
          </cell>
        </row>
        <row r="31">
          <cell r="E31">
            <v>1346</v>
          </cell>
        </row>
        <row r="35">
          <cell r="E35">
            <v>5170</v>
          </cell>
        </row>
        <row r="36">
          <cell r="E36">
            <v>164902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3077</v>
          </cell>
        </row>
        <row r="28">
          <cell r="E28">
            <v>9841</v>
          </cell>
        </row>
        <row r="31">
          <cell r="E31">
            <v>293</v>
          </cell>
        </row>
        <row r="35">
          <cell r="E35">
            <v>592</v>
          </cell>
        </row>
        <row r="36">
          <cell r="E36">
            <v>13803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21529</v>
          </cell>
        </row>
        <row r="28">
          <cell r="E28">
            <v>71815</v>
          </cell>
        </row>
        <row r="31">
          <cell r="E31">
            <v>1912</v>
          </cell>
        </row>
        <row r="35">
          <cell r="E35">
            <v>4247</v>
          </cell>
        </row>
        <row r="36">
          <cell r="E36">
            <v>99503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52716</v>
          </cell>
        </row>
        <row r="28">
          <cell r="E28">
            <v>44816</v>
          </cell>
        </row>
        <row r="31">
          <cell r="E31">
            <v>2040</v>
          </cell>
        </row>
        <row r="35">
          <cell r="E35">
            <v>14402</v>
          </cell>
        </row>
        <row r="36">
          <cell r="E36">
            <v>113974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115015</v>
          </cell>
        </row>
        <row r="28">
          <cell r="E28">
            <v>363592</v>
          </cell>
        </row>
        <row r="31">
          <cell r="E31">
            <v>8235</v>
          </cell>
        </row>
        <row r="35">
          <cell r="E35">
            <v>22526</v>
          </cell>
        </row>
        <row r="36">
          <cell r="E36">
            <v>509368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21713</v>
          </cell>
        </row>
        <row r="28">
          <cell r="E28">
            <v>54251</v>
          </cell>
        </row>
        <row r="31">
          <cell r="E31">
            <v>2183</v>
          </cell>
        </row>
        <row r="35">
          <cell r="E35">
            <v>4215</v>
          </cell>
        </row>
        <row r="36">
          <cell r="E36">
            <v>82362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6716</v>
          </cell>
        </row>
        <row r="28">
          <cell r="E28">
            <v>20229</v>
          </cell>
        </row>
        <row r="31">
          <cell r="E31">
            <v>535</v>
          </cell>
        </row>
        <row r="35">
          <cell r="E35">
            <v>1375</v>
          </cell>
        </row>
        <row r="36">
          <cell r="E36">
            <v>28855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36437</v>
          </cell>
        </row>
        <row r="28">
          <cell r="E28">
            <v>111192</v>
          </cell>
        </row>
        <row r="31">
          <cell r="E31">
            <v>2734</v>
          </cell>
        </row>
        <row r="35">
          <cell r="E35">
            <v>7585</v>
          </cell>
        </row>
        <row r="36">
          <cell r="E36">
            <v>157948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2114</v>
          </cell>
        </row>
        <row r="40">
          <cell r="E40">
            <v>14718</v>
          </cell>
        </row>
        <row r="47">
          <cell r="E47">
            <v>794</v>
          </cell>
        </row>
        <row r="54">
          <cell r="E54">
            <v>645</v>
          </cell>
        </row>
        <row r="61">
          <cell r="E61">
            <v>18271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2432</v>
          </cell>
        </row>
        <row r="40">
          <cell r="E40">
            <v>16633</v>
          </cell>
        </row>
        <row r="47">
          <cell r="E47">
            <v>1186</v>
          </cell>
        </row>
        <row r="54">
          <cell r="E54">
            <v>624</v>
          </cell>
        </row>
        <row r="61">
          <cell r="E61">
            <v>20875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1870884</v>
          </cell>
        </row>
        <row r="39">
          <cell r="E39">
            <v>6541706</v>
          </cell>
        </row>
        <row r="46">
          <cell r="E46">
            <v>289929</v>
          </cell>
        </row>
        <row r="53">
          <cell r="E53">
            <v>437691</v>
          </cell>
        </row>
        <row r="60">
          <cell r="E60">
            <v>9140567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14437</v>
          </cell>
        </row>
        <row r="28">
          <cell r="E28">
            <v>36300</v>
          </cell>
        </row>
        <row r="31">
          <cell r="E31">
            <v>1183</v>
          </cell>
        </row>
        <row r="35">
          <cell r="E35">
            <v>2968</v>
          </cell>
        </row>
        <row r="36">
          <cell r="E36">
            <v>54888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93509</v>
          </cell>
        </row>
        <row r="28">
          <cell r="E28">
            <v>276079</v>
          </cell>
        </row>
        <row r="31">
          <cell r="E31">
            <v>5432</v>
          </cell>
        </row>
        <row r="35">
          <cell r="E35">
            <v>13216</v>
          </cell>
        </row>
        <row r="36">
          <cell r="E36">
            <v>388236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34909</v>
          </cell>
        </row>
        <row r="28">
          <cell r="E28">
            <v>117345</v>
          </cell>
        </row>
        <row r="31">
          <cell r="E31">
            <v>2780</v>
          </cell>
        </row>
        <row r="35">
          <cell r="E35">
            <v>5589</v>
          </cell>
        </row>
        <row r="36">
          <cell r="E36">
            <v>160623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18182</v>
          </cell>
        </row>
        <row r="28">
          <cell r="E28">
            <v>17301</v>
          </cell>
        </row>
        <row r="31">
          <cell r="E31">
            <v>877</v>
          </cell>
        </row>
        <row r="35">
          <cell r="E35">
            <v>2917</v>
          </cell>
        </row>
        <row r="36">
          <cell r="E36">
            <v>39277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11425</v>
          </cell>
        </row>
        <row r="28">
          <cell r="E28">
            <v>30432</v>
          </cell>
        </row>
        <row r="31">
          <cell r="E31">
            <v>2232</v>
          </cell>
        </row>
        <row r="35">
          <cell r="E35">
            <v>2973</v>
          </cell>
        </row>
        <row r="36">
          <cell r="E36">
            <v>47062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47740</v>
          </cell>
        </row>
        <row r="28">
          <cell r="E28">
            <v>103939</v>
          </cell>
        </row>
        <row r="31">
          <cell r="E31">
            <v>3265</v>
          </cell>
        </row>
        <row r="35">
          <cell r="E35">
            <v>12280</v>
          </cell>
        </row>
        <row r="36">
          <cell r="E36">
            <v>167224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5818</v>
          </cell>
        </row>
        <row r="28">
          <cell r="E28">
            <v>16804</v>
          </cell>
        </row>
        <row r="31">
          <cell r="E31">
            <v>522</v>
          </cell>
        </row>
        <row r="35">
          <cell r="E35">
            <v>494</v>
          </cell>
        </row>
        <row r="36">
          <cell r="E36">
            <v>23638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23623</v>
          </cell>
        </row>
        <row r="28">
          <cell r="E28">
            <v>76342</v>
          </cell>
        </row>
        <row r="31">
          <cell r="E31">
            <v>1920</v>
          </cell>
        </row>
        <row r="35">
          <cell r="E35">
            <v>3163</v>
          </cell>
        </row>
        <row r="36">
          <cell r="E36">
            <v>105048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53815</v>
          </cell>
        </row>
        <row r="28">
          <cell r="E28">
            <v>156315</v>
          </cell>
        </row>
        <row r="31">
          <cell r="E31">
            <v>2307</v>
          </cell>
        </row>
        <row r="35">
          <cell r="E35">
            <v>7661</v>
          </cell>
        </row>
        <row r="36">
          <cell r="E36">
            <v>220098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248849</v>
          </cell>
        </row>
        <row r="28">
          <cell r="E28">
            <v>720767</v>
          </cell>
        </row>
        <row r="31">
          <cell r="E31">
            <v>11890</v>
          </cell>
        </row>
        <row r="35">
          <cell r="E35">
            <v>47633</v>
          </cell>
        </row>
        <row r="36">
          <cell r="E36">
            <v>1029139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38191</v>
          </cell>
        </row>
        <row r="28">
          <cell r="E28">
            <v>102132</v>
          </cell>
        </row>
        <row r="31">
          <cell r="E31">
            <v>7004</v>
          </cell>
        </row>
        <row r="35">
          <cell r="E35">
            <v>9629</v>
          </cell>
        </row>
        <row r="36">
          <cell r="E36">
            <v>156956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15144</v>
          </cell>
        </row>
        <row r="28">
          <cell r="E28">
            <v>39695</v>
          </cell>
        </row>
        <row r="31">
          <cell r="E31">
            <v>1604</v>
          </cell>
        </row>
        <row r="35">
          <cell r="E35">
            <v>3124</v>
          </cell>
        </row>
        <row r="36">
          <cell r="E36">
            <v>59567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11855</v>
          </cell>
        </row>
        <row r="28">
          <cell r="E28">
            <v>34760</v>
          </cell>
        </row>
        <row r="31">
          <cell r="E31">
            <v>1128</v>
          </cell>
        </row>
        <row r="35">
          <cell r="E35">
            <v>1952</v>
          </cell>
        </row>
        <row r="36">
          <cell r="E36">
            <v>49695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49481</v>
          </cell>
        </row>
        <row r="28">
          <cell r="E28">
            <v>186194</v>
          </cell>
        </row>
        <row r="31">
          <cell r="E31">
            <v>6144</v>
          </cell>
        </row>
        <row r="35">
          <cell r="E35">
            <v>7747</v>
          </cell>
        </row>
        <row r="36">
          <cell r="E36">
            <v>249566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16871</v>
          </cell>
        </row>
        <row r="28">
          <cell r="E28">
            <v>17770</v>
          </cell>
        </row>
        <row r="31">
          <cell r="E31">
            <v>522</v>
          </cell>
        </row>
        <row r="35">
          <cell r="E35">
            <v>1962</v>
          </cell>
        </row>
        <row r="36">
          <cell r="E36">
            <v>37125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29397</v>
          </cell>
        </row>
        <row r="28">
          <cell r="E28">
            <v>75012</v>
          </cell>
        </row>
        <row r="31">
          <cell r="E31">
            <v>2021</v>
          </cell>
        </row>
        <row r="35">
          <cell r="E35">
            <v>5348</v>
          </cell>
        </row>
        <row r="36">
          <cell r="E36">
            <v>111778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29448</v>
          </cell>
        </row>
        <row r="28">
          <cell r="E28">
            <v>75535</v>
          </cell>
        </row>
        <row r="31">
          <cell r="E31">
            <v>2058</v>
          </cell>
        </row>
        <row r="35">
          <cell r="E35">
            <v>4734</v>
          </cell>
        </row>
        <row r="36">
          <cell r="E36">
            <v>111775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17586</v>
          </cell>
        </row>
        <row r="28">
          <cell r="E28">
            <v>55082</v>
          </cell>
        </row>
        <row r="31">
          <cell r="E31">
            <v>1074</v>
          </cell>
        </row>
        <row r="35">
          <cell r="E35">
            <v>3488</v>
          </cell>
        </row>
        <row r="36">
          <cell r="E36">
            <v>77230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29770</v>
          </cell>
        </row>
        <row r="28">
          <cell r="E28">
            <v>105318</v>
          </cell>
        </row>
        <row r="31">
          <cell r="E31">
            <v>3485</v>
          </cell>
        </row>
        <row r="35">
          <cell r="E35">
            <v>5594</v>
          </cell>
        </row>
        <row r="36">
          <cell r="E36">
            <v>144167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45720</v>
          </cell>
        </row>
        <row r="28">
          <cell r="E28">
            <v>128899</v>
          </cell>
        </row>
        <row r="31">
          <cell r="E31">
            <v>4200</v>
          </cell>
        </row>
        <row r="35">
          <cell r="E35">
            <v>10396</v>
          </cell>
        </row>
        <row r="36">
          <cell r="E36">
            <v>189215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5923</v>
          </cell>
        </row>
        <row r="28">
          <cell r="E28">
            <v>23974</v>
          </cell>
        </row>
        <row r="31">
          <cell r="E31">
            <v>638</v>
          </cell>
        </row>
        <row r="35">
          <cell r="E35">
            <v>1116</v>
          </cell>
        </row>
        <row r="36">
          <cell r="E36">
            <v>31651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19121</v>
          </cell>
        </row>
        <row r="28">
          <cell r="E28">
            <v>61054</v>
          </cell>
        </row>
        <row r="31">
          <cell r="E31">
            <v>3218</v>
          </cell>
        </row>
        <row r="35">
          <cell r="E35">
            <v>4343</v>
          </cell>
        </row>
        <row r="36">
          <cell r="E36">
            <v>87736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32978</v>
          </cell>
        </row>
        <row r="28">
          <cell r="E28">
            <v>95601</v>
          </cell>
        </row>
        <row r="31">
          <cell r="E31">
            <v>1751</v>
          </cell>
        </row>
        <row r="35">
          <cell r="E35">
            <v>4199</v>
          </cell>
        </row>
        <row r="36">
          <cell r="E36">
            <v>134529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42442</v>
          </cell>
        </row>
        <row r="28">
          <cell r="E28">
            <v>178257</v>
          </cell>
        </row>
        <row r="31">
          <cell r="E31">
            <v>5000</v>
          </cell>
        </row>
        <row r="35">
          <cell r="E35">
            <v>8824</v>
          </cell>
        </row>
        <row r="36">
          <cell r="E36">
            <v>234523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10197</v>
          </cell>
        </row>
        <row r="28">
          <cell r="E28">
            <v>26620</v>
          </cell>
        </row>
        <row r="31">
          <cell r="E31">
            <v>1236</v>
          </cell>
        </row>
        <row r="35">
          <cell r="E35">
            <v>2093</v>
          </cell>
        </row>
        <row r="36">
          <cell r="E36">
            <v>40146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69092</v>
          </cell>
        </row>
        <row r="28">
          <cell r="E28">
            <v>86760</v>
          </cell>
        </row>
        <row r="31">
          <cell r="E31">
            <v>6014</v>
          </cell>
        </row>
        <row r="35">
          <cell r="E35">
            <v>9085</v>
          </cell>
        </row>
        <row r="36">
          <cell r="E36">
            <v>170951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20704</v>
          </cell>
        </row>
        <row r="28">
          <cell r="E28">
            <v>72569</v>
          </cell>
        </row>
        <row r="31">
          <cell r="E31">
            <v>3624</v>
          </cell>
        </row>
        <row r="35">
          <cell r="E35">
            <v>3752</v>
          </cell>
        </row>
        <row r="36">
          <cell r="E36">
            <v>100649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8319</v>
          </cell>
        </row>
        <row r="28">
          <cell r="E28">
            <v>21292</v>
          </cell>
        </row>
        <row r="31">
          <cell r="E31">
            <v>574</v>
          </cell>
        </row>
        <row r="35">
          <cell r="E35">
            <v>968</v>
          </cell>
        </row>
        <row r="36">
          <cell r="E36">
            <v>31153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24680</v>
          </cell>
        </row>
        <row r="28">
          <cell r="E28">
            <v>73018</v>
          </cell>
        </row>
        <row r="31">
          <cell r="E31">
            <v>2690</v>
          </cell>
        </row>
        <row r="35">
          <cell r="E35">
            <v>3193</v>
          </cell>
        </row>
        <row r="36">
          <cell r="E36">
            <v>103581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21836</v>
          </cell>
        </row>
        <row r="28">
          <cell r="E28">
            <v>57444</v>
          </cell>
        </row>
        <row r="31">
          <cell r="E31">
            <v>1651</v>
          </cell>
        </row>
        <row r="35">
          <cell r="E35">
            <v>5252</v>
          </cell>
        </row>
        <row r="36">
          <cell r="E36">
            <v>86183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16967</v>
          </cell>
        </row>
        <row r="28">
          <cell r="E28">
            <v>42294</v>
          </cell>
        </row>
        <row r="31">
          <cell r="E31">
            <v>837</v>
          </cell>
        </row>
        <row r="35">
          <cell r="E35">
            <v>2074</v>
          </cell>
        </row>
        <row r="36">
          <cell r="E36">
            <v>62172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12521</v>
          </cell>
        </row>
        <row r="28">
          <cell r="E28">
            <v>30526</v>
          </cell>
        </row>
        <row r="31">
          <cell r="E31">
            <v>899</v>
          </cell>
        </row>
        <row r="35">
          <cell r="E35">
            <v>2784</v>
          </cell>
        </row>
        <row r="36">
          <cell r="E36">
            <v>46730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307547</v>
          </cell>
        </row>
        <row r="28">
          <cell r="E28">
            <v>1000108</v>
          </cell>
        </row>
        <row r="31">
          <cell r="E31">
            <v>31352</v>
          </cell>
        </row>
        <row r="35">
          <cell r="E35">
            <v>62270</v>
          </cell>
        </row>
        <row r="36">
          <cell r="E36">
            <v>1401277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87814</v>
          </cell>
        </row>
        <row r="28">
          <cell r="E28">
            <v>351748</v>
          </cell>
        </row>
        <row r="31">
          <cell r="E31">
            <v>7273</v>
          </cell>
        </row>
        <row r="35">
          <cell r="E35">
            <v>17199</v>
          </cell>
        </row>
        <row r="36">
          <cell r="E36">
            <v>464034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71769</v>
          </cell>
        </row>
        <row r="28">
          <cell r="E28">
            <v>204266</v>
          </cell>
        </row>
        <row r="31">
          <cell r="E31">
            <v>7564</v>
          </cell>
        </row>
        <row r="35">
          <cell r="E35">
            <v>12639</v>
          </cell>
        </row>
        <row r="36">
          <cell r="E36">
            <v>296238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21093</v>
          </cell>
        </row>
        <row r="28">
          <cell r="E28">
            <v>66033</v>
          </cell>
        </row>
        <row r="31">
          <cell r="E31">
            <v>2278</v>
          </cell>
        </row>
        <row r="35">
          <cell r="E35">
            <v>3655</v>
          </cell>
        </row>
        <row r="36">
          <cell r="E36">
            <v>93059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36104</v>
          </cell>
        </row>
        <row r="28">
          <cell r="E28">
            <v>30238</v>
          </cell>
        </row>
        <row r="31">
          <cell r="E31">
            <v>1380</v>
          </cell>
        </row>
        <row r="35">
          <cell r="E35">
            <v>6153</v>
          </cell>
        </row>
        <row r="36">
          <cell r="E36">
            <v>73875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11255</v>
          </cell>
        </row>
        <row r="28">
          <cell r="E28">
            <v>34039</v>
          </cell>
        </row>
        <row r="31">
          <cell r="E31">
            <v>903</v>
          </cell>
        </row>
        <row r="35">
          <cell r="E35">
            <v>3248</v>
          </cell>
        </row>
        <row r="36">
          <cell r="E36">
            <v>49445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6327</v>
          </cell>
        </row>
        <row r="28">
          <cell r="E28">
            <v>19993</v>
          </cell>
        </row>
        <row r="31">
          <cell r="E31">
            <v>633</v>
          </cell>
        </row>
        <row r="35">
          <cell r="E35">
            <v>1361</v>
          </cell>
        </row>
        <row r="36">
          <cell r="E36">
            <v>28314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58825</v>
          </cell>
        </row>
        <row r="28">
          <cell r="E28">
            <v>158932</v>
          </cell>
        </row>
        <row r="31">
          <cell r="E31">
            <v>4332</v>
          </cell>
        </row>
        <row r="35">
          <cell r="E35">
            <v>14751</v>
          </cell>
        </row>
        <row r="36">
          <cell r="E36">
            <v>236840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44444</v>
          </cell>
        </row>
        <row r="28">
          <cell r="E28">
            <v>148298</v>
          </cell>
        </row>
        <row r="31">
          <cell r="E31">
            <v>2629</v>
          </cell>
        </row>
        <row r="35">
          <cell r="E35">
            <v>9547</v>
          </cell>
        </row>
        <row r="36">
          <cell r="E36">
            <v>204918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13562</v>
          </cell>
        </row>
        <row r="28">
          <cell r="E28">
            <v>25801</v>
          </cell>
        </row>
        <row r="31">
          <cell r="E31">
            <v>1051</v>
          </cell>
        </row>
        <row r="35">
          <cell r="E35">
            <v>2948</v>
          </cell>
        </row>
        <row r="36">
          <cell r="E36">
            <v>43362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13036</v>
          </cell>
        </row>
        <row r="28">
          <cell r="E28">
            <v>42763</v>
          </cell>
        </row>
        <row r="31">
          <cell r="E31">
            <v>1500</v>
          </cell>
        </row>
        <row r="35">
          <cell r="E35">
            <v>2296</v>
          </cell>
        </row>
        <row r="36">
          <cell r="E36">
            <v>59595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50299</v>
          </cell>
        </row>
        <row r="28">
          <cell r="E28">
            <v>132820</v>
          </cell>
        </row>
        <row r="31">
          <cell r="E31">
            <v>2460</v>
          </cell>
        </row>
        <row r="35">
          <cell r="E35">
            <v>8555</v>
          </cell>
        </row>
        <row r="36">
          <cell r="E36">
            <v>194134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5718</v>
          </cell>
        </row>
        <row r="28">
          <cell r="E28">
            <v>15942</v>
          </cell>
        </row>
        <row r="31">
          <cell r="E31">
            <v>670</v>
          </cell>
        </row>
        <row r="35">
          <cell r="E35">
            <v>858</v>
          </cell>
        </row>
        <row r="36">
          <cell r="E36">
            <v>23188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80657</v>
          </cell>
        </row>
        <row r="28">
          <cell r="E28">
            <v>325554</v>
          </cell>
        </row>
        <row r="31">
          <cell r="E31">
            <v>10995</v>
          </cell>
        </row>
        <row r="35">
          <cell r="E35">
            <v>13820</v>
          </cell>
        </row>
        <row r="36">
          <cell r="E36">
            <v>431026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3467</v>
          </cell>
        </row>
        <row r="28">
          <cell r="E28">
            <v>9262</v>
          </cell>
        </row>
        <row r="31">
          <cell r="E31">
            <v>531</v>
          </cell>
        </row>
        <row r="35">
          <cell r="E35">
            <v>481</v>
          </cell>
        </row>
        <row r="36">
          <cell r="E36">
            <v>13741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31307</v>
          </cell>
        </row>
        <row r="28">
          <cell r="E28">
            <v>30800</v>
          </cell>
        </row>
        <row r="31">
          <cell r="E31">
            <v>1140</v>
          </cell>
        </row>
        <row r="35">
          <cell r="E35">
            <v>3875</v>
          </cell>
        </row>
        <row r="36">
          <cell r="E36">
            <v>67122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37673</v>
          </cell>
        </row>
        <row r="28">
          <cell r="E28">
            <v>134517</v>
          </cell>
        </row>
        <row r="31">
          <cell r="E31">
            <v>1415</v>
          </cell>
        </row>
        <row r="35">
          <cell r="E35">
            <v>5015</v>
          </cell>
        </row>
        <row r="36">
          <cell r="E36">
            <v>178620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3118</v>
          </cell>
        </row>
        <row r="28">
          <cell r="E28">
            <v>9711</v>
          </cell>
        </row>
        <row r="31">
          <cell r="E31">
            <v>239</v>
          </cell>
        </row>
        <row r="35">
          <cell r="E35">
            <v>526</v>
          </cell>
        </row>
        <row r="36">
          <cell r="E36">
            <v>13594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24367</v>
          </cell>
        </row>
        <row r="28">
          <cell r="E28">
            <v>67782</v>
          </cell>
        </row>
        <row r="31">
          <cell r="E31">
            <v>1669</v>
          </cell>
        </row>
        <row r="35">
          <cell r="E35">
            <v>3883</v>
          </cell>
        </row>
        <row r="36">
          <cell r="E36">
            <v>97701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126291</v>
          </cell>
        </row>
        <row r="28">
          <cell r="E28">
            <v>361879</v>
          </cell>
        </row>
        <row r="31">
          <cell r="E31">
            <v>9886</v>
          </cell>
        </row>
        <row r="35">
          <cell r="E35">
            <v>23759</v>
          </cell>
        </row>
        <row r="36">
          <cell r="E36">
            <v>521815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22900</v>
          </cell>
        </row>
        <row r="28">
          <cell r="E28">
            <v>59818</v>
          </cell>
        </row>
        <row r="31">
          <cell r="E31">
            <v>3157</v>
          </cell>
        </row>
        <row r="35">
          <cell r="E35">
            <v>3971</v>
          </cell>
        </row>
        <row r="36">
          <cell r="E36">
            <v>89846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6799</v>
          </cell>
        </row>
        <row r="28">
          <cell r="E28">
            <v>19878</v>
          </cell>
        </row>
        <row r="31">
          <cell r="E31">
            <v>713</v>
          </cell>
        </row>
        <row r="35">
          <cell r="E35">
            <v>1189</v>
          </cell>
        </row>
        <row r="36">
          <cell r="E36">
            <v>28579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39615</v>
          </cell>
        </row>
        <row r="28">
          <cell r="E28">
            <v>116790</v>
          </cell>
        </row>
        <row r="31">
          <cell r="E31">
            <v>2711</v>
          </cell>
        </row>
        <row r="35">
          <cell r="E35">
            <v>7572</v>
          </cell>
        </row>
        <row r="36">
          <cell r="E36">
            <v>166688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2118</v>
          </cell>
        </row>
        <row r="40">
          <cell r="E40">
            <v>15114</v>
          </cell>
        </row>
        <row r="47">
          <cell r="E47">
            <v>600</v>
          </cell>
        </row>
        <row r="54">
          <cell r="E54">
            <v>719</v>
          </cell>
        </row>
        <row r="61">
          <cell r="E61">
            <v>18551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2454</v>
          </cell>
        </row>
        <row r="40">
          <cell r="E40">
            <v>15461</v>
          </cell>
        </row>
        <row r="47">
          <cell r="E47">
            <v>1497</v>
          </cell>
        </row>
        <row r="54">
          <cell r="E54">
            <v>510</v>
          </cell>
        </row>
        <row r="61">
          <cell r="E61">
            <v>19922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2057267</v>
          </cell>
        </row>
        <row r="39">
          <cell r="E39">
            <v>6638553</v>
          </cell>
        </row>
        <row r="46">
          <cell r="E46">
            <v>287479</v>
          </cell>
        </row>
        <row r="53">
          <cell r="E53">
            <v>444316</v>
          </cell>
        </row>
        <row r="60">
          <cell r="E60">
            <v>9427927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22176</v>
          </cell>
        </row>
        <row r="28">
          <cell r="E28">
            <v>24269</v>
          </cell>
        </row>
        <row r="31">
          <cell r="E31">
            <v>839</v>
          </cell>
        </row>
        <row r="35">
          <cell r="E35">
            <v>2901</v>
          </cell>
        </row>
        <row r="36">
          <cell r="E36">
            <v>50185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15249</v>
          </cell>
        </row>
        <row r="28">
          <cell r="E28">
            <v>37137</v>
          </cell>
        </row>
        <row r="31">
          <cell r="E31">
            <v>1149</v>
          </cell>
        </row>
        <row r="35">
          <cell r="E35">
            <v>3384</v>
          </cell>
        </row>
        <row r="36">
          <cell r="E36">
            <v>56919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91562</v>
          </cell>
        </row>
        <row r="28">
          <cell r="E28">
            <v>294502</v>
          </cell>
        </row>
        <row r="31">
          <cell r="E31">
            <v>5284</v>
          </cell>
        </row>
        <row r="35">
          <cell r="E35">
            <v>16951</v>
          </cell>
        </row>
        <row r="36">
          <cell r="E36">
            <v>408299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34402</v>
          </cell>
        </row>
        <row r="28">
          <cell r="E28">
            <v>132645</v>
          </cell>
        </row>
        <row r="31">
          <cell r="E31">
            <v>3179</v>
          </cell>
        </row>
        <row r="35">
          <cell r="E35">
            <v>6276</v>
          </cell>
        </row>
        <row r="36">
          <cell r="E36">
            <v>176502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11036</v>
          </cell>
        </row>
        <row r="28">
          <cell r="E28">
            <v>31232</v>
          </cell>
        </row>
        <row r="31">
          <cell r="E31">
            <v>4952</v>
          </cell>
        </row>
        <row r="35">
          <cell r="E35">
            <v>3500</v>
          </cell>
        </row>
        <row r="36">
          <cell r="E36">
            <v>50720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46364</v>
          </cell>
        </row>
        <row r="28">
          <cell r="E28">
            <v>107936</v>
          </cell>
        </row>
        <row r="31">
          <cell r="E31">
            <v>3050</v>
          </cell>
        </row>
        <row r="35">
          <cell r="E35">
            <v>12941</v>
          </cell>
        </row>
        <row r="36">
          <cell r="E36">
            <v>170291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5743</v>
          </cell>
        </row>
        <row r="28">
          <cell r="E28">
            <v>17516</v>
          </cell>
        </row>
        <row r="31">
          <cell r="E31">
            <v>376</v>
          </cell>
        </row>
        <row r="35">
          <cell r="E35">
            <v>456</v>
          </cell>
        </row>
        <row r="36">
          <cell r="E36">
            <v>24091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24791</v>
          </cell>
        </row>
        <row r="28">
          <cell r="E28">
            <v>77169</v>
          </cell>
        </row>
        <row r="31">
          <cell r="E31">
            <v>1793</v>
          </cell>
        </row>
        <row r="35">
          <cell r="E35">
            <v>3610</v>
          </cell>
        </row>
        <row r="36">
          <cell r="E36">
            <v>107363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52000</v>
          </cell>
        </row>
        <row r="28">
          <cell r="E28">
            <v>160263</v>
          </cell>
        </row>
        <row r="31">
          <cell r="E31">
            <v>2348</v>
          </cell>
        </row>
        <row r="35">
          <cell r="E35">
            <v>7528</v>
          </cell>
        </row>
        <row r="36">
          <cell r="E36">
            <v>222139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242119</v>
          </cell>
        </row>
        <row r="28">
          <cell r="E28">
            <v>734150</v>
          </cell>
        </row>
        <row r="31">
          <cell r="E31">
            <v>12329</v>
          </cell>
        </row>
        <row r="35">
          <cell r="E35">
            <v>51773</v>
          </cell>
        </row>
        <row r="36">
          <cell r="E36">
            <v>1040371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38296</v>
          </cell>
        </row>
        <row r="28">
          <cell r="E28">
            <v>107696</v>
          </cell>
        </row>
        <row r="31">
          <cell r="E31">
            <v>9717</v>
          </cell>
        </row>
        <row r="35">
          <cell r="E35">
            <v>9946</v>
          </cell>
        </row>
        <row r="36">
          <cell r="E36">
            <v>165655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33503</v>
          </cell>
        </row>
        <row r="28">
          <cell r="E28">
            <v>36675</v>
          </cell>
        </row>
        <row r="31">
          <cell r="E31">
            <v>945</v>
          </cell>
        </row>
        <row r="35">
          <cell r="E35">
            <v>4336</v>
          </cell>
        </row>
        <row r="36">
          <cell r="E36">
            <v>75459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33692</v>
          </cell>
        </row>
        <row r="28">
          <cell r="E28">
            <v>55741</v>
          </cell>
        </row>
        <row r="31">
          <cell r="E31">
            <v>1473</v>
          </cell>
        </row>
        <row r="35">
          <cell r="E35">
            <v>4259</v>
          </cell>
        </row>
        <row r="36">
          <cell r="E36">
            <v>95165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16121</v>
          </cell>
        </row>
        <row r="28">
          <cell r="E28">
            <v>42924</v>
          </cell>
        </row>
        <row r="31">
          <cell r="E31">
            <v>1526</v>
          </cell>
        </row>
        <row r="35">
          <cell r="E35">
            <v>3207</v>
          </cell>
        </row>
        <row r="36">
          <cell r="E36">
            <v>63778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12495</v>
          </cell>
        </row>
        <row r="28">
          <cell r="E28">
            <v>38463</v>
          </cell>
        </row>
        <row r="31">
          <cell r="E31">
            <v>875</v>
          </cell>
        </row>
        <row r="35">
          <cell r="E35">
            <v>2233</v>
          </cell>
        </row>
        <row r="36">
          <cell r="E36">
            <v>54066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49508</v>
          </cell>
        </row>
        <row r="28">
          <cell r="E28">
            <v>185691</v>
          </cell>
        </row>
        <row r="31">
          <cell r="E31">
            <v>9104</v>
          </cell>
        </row>
        <row r="35">
          <cell r="E35">
            <v>8989</v>
          </cell>
        </row>
        <row r="36">
          <cell r="E36">
            <v>253292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28830</v>
          </cell>
        </row>
        <row r="28">
          <cell r="E28">
            <v>72527</v>
          </cell>
        </row>
        <row r="31">
          <cell r="E31">
            <v>2479</v>
          </cell>
        </row>
        <row r="35">
          <cell r="E35">
            <v>5973</v>
          </cell>
        </row>
        <row r="36">
          <cell r="E36">
            <v>109809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30889</v>
          </cell>
        </row>
        <row r="28">
          <cell r="E28">
            <v>76207</v>
          </cell>
        </row>
        <row r="31">
          <cell r="E31">
            <v>2414</v>
          </cell>
        </row>
        <row r="35">
          <cell r="E35">
            <v>5893</v>
          </cell>
        </row>
        <row r="36">
          <cell r="E36">
            <v>115403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18477</v>
          </cell>
        </row>
        <row r="28">
          <cell r="E28">
            <v>56802</v>
          </cell>
        </row>
        <row r="31">
          <cell r="E31">
            <v>899</v>
          </cell>
        </row>
        <row r="35">
          <cell r="E35">
            <v>3939</v>
          </cell>
        </row>
        <row r="36">
          <cell r="E36">
            <v>80117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30233</v>
          </cell>
        </row>
        <row r="28">
          <cell r="E28">
            <v>110844</v>
          </cell>
        </row>
        <row r="31">
          <cell r="E31">
            <v>4266</v>
          </cell>
        </row>
        <row r="35">
          <cell r="E35">
            <v>6308</v>
          </cell>
        </row>
        <row r="36">
          <cell r="E36">
            <v>151651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46196</v>
          </cell>
        </row>
        <row r="28">
          <cell r="E28">
            <v>128825</v>
          </cell>
        </row>
        <row r="31">
          <cell r="E31">
            <v>4165</v>
          </cell>
        </row>
        <row r="35">
          <cell r="E35">
            <v>10451</v>
          </cell>
        </row>
        <row r="36">
          <cell r="E36">
            <v>189637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6502</v>
          </cell>
        </row>
        <row r="28">
          <cell r="E28">
            <v>23821</v>
          </cell>
        </row>
        <row r="31">
          <cell r="E31">
            <v>679</v>
          </cell>
        </row>
        <row r="35">
          <cell r="E35">
            <v>1032</v>
          </cell>
        </row>
        <row r="36">
          <cell r="E36">
            <v>32034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19020</v>
          </cell>
        </row>
        <row r="28">
          <cell r="E28">
            <v>60871</v>
          </cell>
        </row>
        <row r="31">
          <cell r="E31">
            <v>3209</v>
          </cell>
        </row>
        <row r="35">
          <cell r="E35">
            <v>4638</v>
          </cell>
        </row>
        <row r="36">
          <cell r="E36">
            <v>87738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57691</v>
          </cell>
        </row>
        <row r="28">
          <cell r="E28">
            <v>46767</v>
          </cell>
        </row>
        <row r="31">
          <cell r="E31">
            <v>2375</v>
          </cell>
        </row>
        <row r="35">
          <cell r="E35">
            <v>11117</v>
          </cell>
        </row>
        <row r="36">
          <cell r="E36">
            <v>117950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31942</v>
          </cell>
        </row>
        <row r="28">
          <cell r="E28">
            <v>96363</v>
          </cell>
        </row>
        <row r="31">
          <cell r="E31">
            <v>2096</v>
          </cell>
        </row>
        <row r="35">
          <cell r="E35">
            <v>4486</v>
          </cell>
        </row>
        <row r="36">
          <cell r="E36">
            <v>134887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42286</v>
          </cell>
        </row>
        <row r="28">
          <cell r="E28">
            <v>176321</v>
          </cell>
        </row>
        <row r="31">
          <cell r="E31">
            <v>5725</v>
          </cell>
        </row>
        <row r="35">
          <cell r="E35">
            <v>10567</v>
          </cell>
        </row>
        <row r="36">
          <cell r="E36">
            <v>234899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10484</v>
          </cell>
        </row>
        <row r="28">
          <cell r="E28">
            <v>29134</v>
          </cell>
        </row>
        <row r="31">
          <cell r="E31">
            <v>854</v>
          </cell>
        </row>
        <row r="35">
          <cell r="E35">
            <v>2885</v>
          </cell>
        </row>
        <row r="36">
          <cell r="E36">
            <v>43357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20038</v>
          </cell>
        </row>
        <row r="28">
          <cell r="E28">
            <v>70517</v>
          </cell>
        </row>
        <row r="31">
          <cell r="E31">
            <v>3252</v>
          </cell>
        </row>
        <row r="35">
          <cell r="E35">
            <v>3672</v>
          </cell>
        </row>
        <row r="36">
          <cell r="E36">
            <v>97479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8873</v>
          </cell>
        </row>
        <row r="28">
          <cell r="E28">
            <v>21519</v>
          </cell>
        </row>
        <row r="31">
          <cell r="E31">
            <v>648</v>
          </cell>
        </row>
        <row r="35">
          <cell r="E35">
            <v>942</v>
          </cell>
        </row>
        <row r="36">
          <cell r="E36">
            <v>31982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24304</v>
          </cell>
        </row>
        <row r="28">
          <cell r="E28">
            <v>67593</v>
          </cell>
        </row>
        <row r="31">
          <cell r="E31">
            <v>2078</v>
          </cell>
        </row>
        <row r="35">
          <cell r="E35">
            <v>3296</v>
          </cell>
        </row>
        <row r="36">
          <cell r="E36">
            <v>97271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21620</v>
          </cell>
        </row>
        <row r="28">
          <cell r="E28">
            <v>58157</v>
          </cell>
        </row>
        <row r="31">
          <cell r="E31">
            <v>1616</v>
          </cell>
        </row>
        <row r="35">
          <cell r="E35">
            <v>5384</v>
          </cell>
        </row>
        <row r="36">
          <cell r="E36">
            <v>86777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17191</v>
          </cell>
        </row>
        <row r="28">
          <cell r="E28">
            <v>44366</v>
          </cell>
        </row>
        <row r="31">
          <cell r="E31">
            <v>822</v>
          </cell>
        </row>
        <row r="35">
          <cell r="E35">
            <v>1949</v>
          </cell>
        </row>
        <row r="36">
          <cell r="E36">
            <v>64328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12743</v>
          </cell>
        </row>
        <row r="28">
          <cell r="E28">
            <v>31541</v>
          </cell>
        </row>
        <row r="31">
          <cell r="E31">
            <v>919</v>
          </cell>
        </row>
        <row r="35">
          <cell r="E35">
            <v>2994</v>
          </cell>
        </row>
        <row r="36">
          <cell r="E36">
            <v>48197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287314</v>
          </cell>
        </row>
        <row r="28">
          <cell r="E28">
            <v>1008990</v>
          </cell>
        </row>
        <row r="31">
          <cell r="E31">
            <v>41378</v>
          </cell>
        </row>
        <row r="35">
          <cell r="E35">
            <v>65874</v>
          </cell>
        </row>
        <row r="36">
          <cell r="E36">
            <v>1403556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7142</v>
          </cell>
        </row>
        <row r="28">
          <cell r="E28">
            <v>10239</v>
          </cell>
        </row>
        <row r="31">
          <cell r="E31">
            <v>424</v>
          </cell>
        </row>
        <row r="35">
          <cell r="E35">
            <v>1269</v>
          </cell>
        </row>
        <row r="36">
          <cell r="E36">
            <v>19074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86396</v>
          </cell>
        </row>
        <row r="28">
          <cell r="E28">
            <v>359792</v>
          </cell>
        </row>
        <row r="31">
          <cell r="E31">
            <v>8447</v>
          </cell>
        </row>
        <row r="35">
          <cell r="E35">
            <v>19082</v>
          </cell>
        </row>
        <row r="36">
          <cell r="E36">
            <v>473717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66445</v>
          </cell>
        </row>
        <row r="28">
          <cell r="E28">
            <v>201145</v>
          </cell>
        </row>
        <row r="31">
          <cell r="E31">
            <v>7183</v>
          </cell>
        </row>
        <row r="35">
          <cell r="E35">
            <v>18341</v>
          </cell>
        </row>
        <row r="36">
          <cell r="E36">
            <v>293114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21482</v>
          </cell>
        </row>
        <row r="28">
          <cell r="E28">
            <v>67499</v>
          </cell>
        </row>
        <row r="31">
          <cell r="E31">
            <v>2175</v>
          </cell>
        </row>
        <row r="35">
          <cell r="E35">
            <v>3878</v>
          </cell>
        </row>
        <row r="36">
          <cell r="E36">
            <v>95034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11417</v>
          </cell>
        </row>
        <row r="28">
          <cell r="E28">
            <v>32592</v>
          </cell>
        </row>
        <row r="31">
          <cell r="E31">
            <v>973</v>
          </cell>
        </row>
        <row r="35">
          <cell r="E35">
            <v>3469</v>
          </cell>
        </row>
        <row r="36">
          <cell r="E36">
            <v>48451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6803</v>
          </cell>
        </row>
        <row r="28">
          <cell r="E28">
            <v>19576</v>
          </cell>
        </row>
        <row r="31">
          <cell r="E31">
            <v>865</v>
          </cell>
        </row>
        <row r="35">
          <cell r="E35">
            <v>1348</v>
          </cell>
        </row>
        <row r="36">
          <cell r="E36">
            <v>28592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59466</v>
          </cell>
        </row>
        <row r="28">
          <cell r="E28">
            <v>160701</v>
          </cell>
        </row>
        <row r="31">
          <cell r="E31">
            <v>3708</v>
          </cell>
        </row>
        <row r="35">
          <cell r="E35">
            <v>14990</v>
          </cell>
        </row>
        <row r="36">
          <cell r="E36">
            <v>238865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43851</v>
          </cell>
        </row>
        <row r="28">
          <cell r="E28">
            <v>156747</v>
          </cell>
        </row>
        <row r="31">
          <cell r="E31">
            <v>2605</v>
          </cell>
        </row>
        <row r="35">
          <cell r="E35">
            <v>9432</v>
          </cell>
        </row>
        <row r="36">
          <cell r="E36">
            <v>212635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14252</v>
          </cell>
        </row>
        <row r="28">
          <cell r="E28">
            <v>27042</v>
          </cell>
        </row>
        <row r="31">
          <cell r="E31">
            <v>873</v>
          </cell>
        </row>
        <row r="35">
          <cell r="E35">
            <v>3668</v>
          </cell>
        </row>
        <row r="36">
          <cell r="E36">
            <v>45835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12729</v>
          </cell>
        </row>
        <row r="28">
          <cell r="E28">
            <v>45007</v>
          </cell>
        </row>
        <row r="31">
          <cell r="E31">
            <v>1045</v>
          </cell>
        </row>
        <row r="35">
          <cell r="E35">
            <v>2261</v>
          </cell>
        </row>
        <row r="36">
          <cell r="E36">
            <v>61042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50264</v>
          </cell>
        </row>
        <row r="28">
          <cell r="E28">
            <v>133347</v>
          </cell>
        </row>
        <row r="31">
          <cell r="E31">
            <v>2290</v>
          </cell>
        </row>
        <row r="35">
          <cell r="E35">
            <v>8503</v>
          </cell>
        </row>
        <row r="36">
          <cell r="E36">
            <v>194404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24392</v>
          </cell>
        </row>
        <row r="28">
          <cell r="E28">
            <v>28789</v>
          </cell>
        </row>
        <row r="31">
          <cell r="E31">
            <v>1783</v>
          </cell>
        </row>
        <row r="35">
          <cell r="E35">
            <v>5011</v>
          </cell>
        </row>
        <row r="36">
          <cell r="E36">
            <v>59975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6270</v>
          </cell>
        </row>
        <row r="28">
          <cell r="E28">
            <v>16714</v>
          </cell>
        </row>
        <row r="31">
          <cell r="E31">
            <v>499</v>
          </cell>
        </row>
        <row r="35">
          <cell r="E35">
            <v>842</v>
          </cell>
        </row>
        <row r="36">
          <cell r="E36">
            <v>24325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78449</v>
          </cell>
        </row>
        <row r="28">
          <cell r="E28">
            <v>322744</v>
          </cell>
        </row>
        <row r="31">
          <cell r="E31">
            <v>9924</v>
          </cell>
        </row>
        <row r="35">
          <cell r="E35">
            <v>14054</v>
          </cell>
        </row>
        <row r="36">
          <cell r="E36">
            <v>425171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3531</v>
          </cell>
        </row>
        <row r="28">
          <cell r="E28">
            <v>8752</v>
          </cell>
        </row>
        <row r="31">
          <cell r="E31">
            <v>304</v>
          </cell>
        </row>
        <row r="35">
          <cell r="E35">
            <v>506</v>
          </cell>
        </row>
        <row r="36">
          <cell r="E36">
            <v>13093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37583</v>
          </cell>
        </row>
        <row r="28">
          <cell r="E28">
            <v>126371</v>
          </cell>
        </row>
        <row r="31">
          <cell r="E31">
            <v>1385</v>
          </cell>
        </row>
        <row r="35">
          <cell r="E35">
            <v>5120</v>
          </cell>
        </row>
        <row r="36">
          <cell r="E36">
            <v>170459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3141</v>
          </cell>
        </row>
        <row r="28">
          <cell r="E28">
            <v>9169</v>
          </cell>
        </row>
        <row r="31">
          <cell r="E31">
            <v>239</v>
          </cell>
        </row>
        <row r="35">
          <cell r="E35">
            <v>600</v>
          </cell>
        </row>
        <row r="36">
          <cell r="E36">
            <v>13149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25055</v>
          </cell>
        </row>
        <row r="28">
          <cell r="E28">
            <v>70180</v>
          </cell>
        </row>
        <row r="31">
          <cell r="E31">
            <v>1840</v>
          </cell>
        </row>
        <row r="35">
          <cell r="E35">
            <v>5035</v>
          </cell>
        </row>
        <row r="36">
          <cell r="E36">
            <v>102110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124067</v>
          </cell>
        </row>
        <row r="28">
          <cell r="E28">
            <v>390839</v>
          </cell>
        </row>
        <row r="31">
          <cell r="E31">
            <v>11162</v>
          </cell>
        </row>
        <row r="35">
          <cell r="E35">
            <v>27971</v>
          </cell>
        </row>
        <row r="36">
          <cell r="E36">
            <v>554039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24911</v>
          </cell>
        </row>
        <row r="28">
          <cell r="E28">
            <v>75750</v>
          </cell>
        </row>
        <row r="31">
          <cell r="E31">
            <v>2544</v>
          </cell>
        </row>
        <row r="35">
          <cell r="E35">
            <v>4604</v>
          </cell>
        </row>
        <row r="36">
          <cell r="E36">
            <v>107809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7264</v>
          </cell>
        </row>
        <row r="28">
          <cell r="E28">
            <v>16812</v>
          </cell>
        </row>
        <row r="31">
          <cell r="E31">
            <v>760</v>
          </cell>
        </row>
        <row r="35">
          <cell r="E35">
            <v>1184</v>
          </cell>
        </row>
        <row r="36">
          <cell r="E36">
            <v>26020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42135</v>
          </cell>
        </row>
        <row r="28">
          <cell r="E28">
            <v>132136</v>
          </cell>
        </row>
        <row r="31">
          <cell r="E31">
            <v>2777</v>
          </cell>
        </row>
        <row r="35">
          <cell r="E35">
            <v>8359</v>
          </cell>
        </row>
        <row r="36">
          <cell r="E36">
            <v>185407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39666</v>
          </cell>
        </row>
        <row r="28">
          <cell r="E28">
            <v>51268</v>
          </cell>
        </row>
        <row r="31">
          <cell r="E31">
            <v>1126</v>
          </cell>
        </row>
        <row r="35">
          <cell r="E35">
            <v>3856</v>
          </cell>
        </row>
        <row r="36">
          <cell r="E36">
            <v>95916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2297</v>
          </cell>
        </row>
        <row r="40">
          <cell r="E40">
            <v>14291</v>
          </cell>
        </row>
        <row r="47">
          <cell r="E47">
            <v>556</v>
          </cell>
        </row>
        <row r="54">
          <cell r="E54">
            <v>703</v>
          </cell>
        </row>
        <row r="61">
          <cell r="E61">
            <v>17847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2768</v>
          </cell>
        </row>
        <row r="40">
          <cell r="E40">
            <v>15727</v>
          </cell>
        </row>
        <row r="47">
          <cell r="E47">
            <v>1954</v>
          </cell>
        </row>
        <row r="54">
          <cell r="E54">
            <v>458</v>
          </cell>
        </row>
        <row r="61">
          <cell r="E61">
            <v>20907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2026856</v>
          </cell>
        </row>
        <row r="39">
          <cell r="E39">
            <v>6738840</v>
          </cell>
        </row>
        <row r="46">
          <cell r="E46">
            <v>317136</v>
          </cell>
        </row>
        <row r="53">
          <cell r="E53">
            <v>484516</v>
          </cell>
        </row>
        <row r="60">
          <cell r="E60">
            <v>9567676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11924</v>
          </cell>
        </row>
        <row r="28">
          <cell r="E28">
            <v>38924</v>
          </cell>
        </row>
        <row r="31">
          <cell r="E31">
            <v>1106</v>
          </cell>
        </row>
        <row r="35">
          <cell r="E35">
            <v>2552</v>
          </cell>
        </row>
        <row r="36">
          <cell r="E36">
            <v>54506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74152</v>
          </cell>
        </row>
        <row r="28">
          <cell r="E28">
            <v>302624</v>
          </cell>
        </row>
        <row r="31">
          <cell r="E31">
            <v>4452</v>
          </cell>
        </row>
        <row r="35">
          <cell r="E35">
            <v>11940</v>
          </cell>
        </row>
        <row r="36">
          <cell r="E36">
            <v>393168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27327</v>
          </cell>
        </row>
        <row r="28">
          <cell r="E28">
            <v>116596</v>
          </cell>
        </row>
        <row r="31">
          <cell r="E31">
            <v>2386</v>
          </cell>
        </row>
        <row r="35">
          <cell r="E35">
            <v>5521</v>
          </cell>
        </row>
        <row r="36">
          <cell r="E36">
            <v>151830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10713</v>
          </cell>
        </row>
        <row r="28">
          <cell r="E28">
            <v>29353</v>
          </cell>
        </row>
        <row r="31">
          <cell r="E31">
            <v>2704</v>
          </cell>
        </row>
        <row r="35">
          <cell r="E35">
            <v>3091</v>
          </cell>
        </row>
        <row r="36">
          <cell r="E36">
            <v>45861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40322</v>
          </cell>
        </row>
        <row r="28">
          <cell r="E28">
            <v>103816</v>
          </cell>
        </row>
        <row r="31">
          <cell r="E31">
            <v>3580</v>
          </cell>
        </row>
        <row r="35">
          <cell r="E35">
            <v>11671</v>
          </cell>
        </row>
        <row r="36">
          <cell r="E36">
            <v>159389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5157</v>
          </cell>
        </row>
        <row r="28">
          <cell r="E28">
            <v>15773</v>
          </cell>
        </row>
        <row r="31">
          <cell r="E31">
            <v>424</v>
          </cell>
        </row>
        <row r="35">
          <cell r="E35">
            <v>395</v>
          </cell>
        </row>
        <row r="36">
          <cell r="E36">
            <v>21749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19474</v>
          </cell>
        </row>
        <row r="28">
          <cell r="E28">
            <v>72142</v>
          </cell>
        </row>
        <row r="31">
          <cell r="E31">
            <v>1850</v>
          </cell>
        </row>
        <row r="35">
          <cell r="E35">
            <v>2848</v>
          </cell>
        </row>
        <row r="36">
          <cell r="E36">
            <v>96314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46780</v>
          </cell>
        </row>
        <row r="28">
          <cell r="E28">
            <v>70789</v>
          </cell>
        </row>
        <row r="31">
          <cell r="E31">
            <v>3840</v>
          </cell>
        </row>
        <row r="35">
          <cell r="E35">
            <v>7864</v>
          </cell>
        </row>
        <row r="36">
          <cell r="E36">
            <v>129273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42613</v>
          </cell>
        </row>
        <row r="28">
          <cell r="E28">
            <v>160912</v>
          </cell>
        </row>
        <row r="31">
          <cell r="E31">
            <v>2047</v>
          </cell>
        </row>
        <row r="35">
          <cell r="E35">
            <v>6813</v>
          </cell>
        </row>
        <row r="36">
          <cell r="E36">
            <v>212385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212219</v>
          </cell>
        </row>
        <row r="28">
          <cell r="E28">
            <v>697790</v>
          </cell>
        </row>
        <row r="31">
          <cell r="E31">
            <v>11074</v>
          </cell>
        </row>
        <row r="35">
          <cell r="E35">
            <v>44523</v>
          </cell>
        </row>
        <row r="36">
          <cell r="E36">
            <v>965606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34562</v>
          </cell>
        </row>
        <row r="28">
          <cell r="E28">
            <v>105229</v>
          </cell>
        </row>
        <row r="31">
          <cell r="E31">
            <v>7404</v>
          </cell>
        </row>
        <row r="35">
          <cell r="E35">
            <v>8486</v>
          </cell>
        </row>
        <row r="36">
          <cell r="E36">
            <v>155681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12699</v>
          </cell>
        </row>
        <row r="28">
          <cell r="E28">
            <v>41465</v>
          </cell>
        </row>
        <row r="31">
          <cell r="E31">
            <v>1288</v>
          </cell>
        </row>
        <row r="35">
          <cell r="E35">
            <v>2725</v>
          </cell>
        </row>
        <row r="36">
          <cell r="E36">
            <v>58177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10324</v>
          </cell>
        </row>
        <row r="28">
          <cell r="E28">
            <v>35703</v>
          </cell>
        </row>
        <row r="31">
          <cell r="E31">
            <v>842</v>
          </cell>
        </row>
        <row r="35">
          <cell r="E35">
            <v>1917</v>
          </cell>
        </row>
        <row r="36">
          <cell r="E36">
            <v>48786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44080</v>
          </cell>
        </row>
        <row r="28">
          <cell r="E28">
            <v>182678</v>
          </cell>
        </row>
        <row r="31">
          <cell r="E31">
            <v>6905</v>
          </cell>
        </row>
        <row r="35">
          <cell r="E35">
            <v>8399</v>
          </cell>
        </row>
        <row r="36">
          <cell r="E36">
            <v>242062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24825</v>
          </cell>
        </row>
        <row r="28">
          <cell r="E28">
            <v>68906</v>
          </cell>
        </row>
        <row r="31">
          <cell r="E31">
            <v>1924</v>
          </cell>
        </row>
        <row r="35">
          <cell r="E35">
            <v>5310</v>
          </cell>
        </row>
        <row r="36">
          <cell r="E36">
            <v>100965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23822</v>
          </cell>
        </row>
        <row r="28">
          <cell r="E28">
            <v>77521</v>
          </cell>
        </row>
        <row r="31">
          <cell r="E31">
            <v>1565</v>
          </cell>
        </row>
        <row r="35">
          <cell r="E35">
            <v>4515</v>
          </cell>
        </row>
        <row r="36">
          <cell r="E36">
            <v>107423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15377</v>
          </cell>
        </row>
        <row r="28">
          <cell r="E28">
            <v>52412</v>
          </cell>
        </row>
        <row r="31">
          <cell r="E31">
            <v>839</v>
          </cell>
        </row>
        <row r="35">
          <cell r="E35">
            <v>2821</v>
          </cell>
        </row>
        <row r="36">
          <cell r="E36">
            <v>71449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25960</v>
          </cell>
        </row>
        <row r="28">
          <cell r="E28">
            <v>112629</v>
          </cell>
        </row>
        <row r="31">
          <cell r="E31">
            <v>2330</v>
          </cell>
        </row>
        <row r="35">
          <cell r="E35">
            <v>5646</v>
          </cell>
        </row>
        <row r="36">
          <cell r="E36">
            <v>146565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12897</v>
          </cell>
        </row>
        <row r="28">
          <cell r="E28">
            <v>13331</v>
          </cell>
        </row>
        <row r="31">
          <cell r="E31">
            <v>611</v>
          </cell>
        </row>
        <row r="35">
          <cell r="E35">
            <v>2193</v>
          </cell>
        </row>
        <row r="36">
          <cell r="E36">
            <v>29032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39587</v>
          </cell>
        </row>
        <row r="28">
          <cell r="E28">
            <v>132587</v>
          </cell>
        </row>
        <row r="31">
          <cell r="E31">
            <v>3645</v>
          </cell>
        </row>
        <row r="35">
          <cell r="E35">
            <v>8805</v>
          </cell>
        </row>
        <row r="36">
          <cell r="E36">
            <v>184624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5056</v>
          </cell>
        </row>
        <row r="28">
          <cell r="E28">
            <v>23726</v>
          </cell>
        </row>
        <row r="31">
          <cell r="E31">
            <v>605</v>
          </cell>
        </row>
        <row r="35">
          <cell r="E35">
            <v>1081</v>
          </cell>
        </row>
        <row r="36">
          <cell r="E36">
            <v>30468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16699</v>
          </cell>
        </row>
        <row r="28">
          <cell r="E28">
            <v>56344</v>
          </cell>
        </row>
        <row r="31">
          <cell r="E31">
            <v>1888</v>
          </cell>
        </row>
        <row r="35">
          <cell r="E35">
            <v>4305</v>
          </cell>
        </row>
        <row r="36">
          <cell r="E36">
            <v>79236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26616</v>
          </cell>
        </row>
        <row r="28">
          <cell r="E28">
            <v>89489</v>
          </cell>
        </row>
        <row r="31">
          <cell r="E31">
            <v>1922</v>
          </cell>
        </row>
        <row r="35">
          <cell r="E35">
            <v>3846</v>
          </cell>
        </row>
        <row r="36">
          <cell r="E36">
            <v>121873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36401</v>
          </cell>
        </row>
        <row r="28">
          <cell r="E28">
            <v>182529</v>
          </cell>
        </row>
        <row r="31">
          <cell r="E31">
            <v>4044</v>
          </cell>
        </row>
        <row r="35">
          <cell r="E35">
            <v>9782</v>
          </cell>
        </row>
        <row r="36">
          <cell r="E36">
            <v>232756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7530</v>
          </cell>
        </row>
        <row r="28">
          <cell r="E28">
            <v>28162</v>
          </cell>
        </row>
        <row r="31">
          <cell r="E31">
            <v>855</v>
          </cell>
        </row>
        <row r="35">
          <cell r="E35">
            <v>2373</v>
          </cell>
        </row>
        <row r="36">
          <cell r="E36">
            <v>38920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17541</v>
          </cell>
        </row>
        <row r="28">
          <cell r="E28">
            <v>66269</v>
          </cell>
        </row>
        <row r="31">
          <cell r="E31">
            <v>2448</v>
          </cell>
        </row>
        <row r="35">
          <cell r="E35">
            <v>2975</v>
          </cell>
        </row>
        <row r="36">
          <cell r="E36">
            <v>89233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6749</v>
          </cell>
        </row>
        <row r="28">
          <cell r="E28">
            <v>20702</v>
          </cell>
        </row>
        <row r="31">
          <cell r="E31">
            <v>604</v>
          </cell>
        </row>
        <row r="35">
          <cell r="E35">
            <v>745</v>
          </cell>
        </row>
        <row r="36">
          <cell r="E36">
            <v>28800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20637</v>
          </cell>
        </row>
        <row r="28">
          <cell r="E28">
            <v>65573</v>
          </cell>
        </row>
        <row r="31">
          <cell r="E31">
            <v>1902</v>
          </cell>
        </row>
        <row r="35">
          <cell r="E35">
            <v>2954</v>
          </cell>
        </row>
        <row r="36">
          <cell r="E36">
            <v>91066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18356</v>
          </cell>
        </row>
        <row r="28">
          <cell r="E28">
            <v>55073</v>
          </cell>
        </row>
        <row r="31">
          <cell r="E31">
            <v>1499</v>
          </cell>
        </row>
        <row r="35">
          <cell r="E35">
            <v>4985</v>
          </cell>
        </row>
        <row r="36">
          <cell r="E36">
            <v>79913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25429</v>
          </cell>
        </row>
        <row r="28">
          <cell r="E28">
            <v>34063</v>
          </cell>
        </row>
        <row r="31">
          <cell r="E31">
            <v>1557</v>
          </cell>
        </row>
        <row r="35">
          <cell r="E35">
            <v>3804</v>
          </cell>
        </row>
        <row r="36">
          <cell r="E36">
            <v>64853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14509</v>
          </cell>
        </row>
        <row r="28">
          <cell r="E28">
            <v>44559</v>
          </cell>
        </row>
        <row r="31">
          <cell r="E31">
            <v>720</v>
          </cell>
        </row>
        <row r="35">
          <cell r="E35">
            <v>1519</v>
          </cell>
        </row>
        <row r="36">
          <cell r="E36">
            <v>61307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11571</v>
          </cell>
        </row>
        <row r="28">
          <cell r="E28">
            <v>34196</v>
          </cell>
        </row>
        <row r="31">
          <cell r="E31">
            <v>1086</v>
          </cell>
        </row>
        <row r="35">
          <cell r="E35">
            <v>3077</v>
          </cell>
        </row>
        <row r="36">
          <cell r="E36">
            <v>49930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241475</v>
          </cell>
        </row>
        <row r="28">
          <cell r="E28">
            <v>1035821</v>
          </cell>
        </row>
        <row r="31">
          <cell r="E31">
            <v>44485</v>
          </cell>
        </row>
        <row r="35">
          <cell r="E35">
            <v>56369</v>
          </cell>
        </row>
        <row r="36">
          <cell r="E36">
            <v>1378150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74088</v>
          </cell>
        </row>
        <row r="28">
          <cell r="E28">
            <v>367517</v>
          </cell>
        </row>
        <row r="31">
          <cell r="E31">
            <v>7105</v>
          </cell>
        </row>
        <row r="35">
          <cell r="E35">
            <v>15992</v>
          </cell>
        </row>
        <row r="36">
          <cell r="E36">
            <v>464702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53210</v>
          </cell>
        </row>
        <row r="28">
          <cell r="E28">
            <v>198434</v>
          </cell>
        </row>
        <row r="31">
          <cell r="E31">
            <v>7960</v>
          </cell>
        </row>
        <row r="35">
          <cell r="E35">
            <v>12771</v>
          </cell>
        </row>
        <row r="36">
          <cell r="E36">
            <v>272375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17275</v>
          </cell>
        </row>
        <row r="28">
          <cell r="E28">
            <v>65589</v>
          </cell>
        </row>
        <row r="31">
          <cell r="E31">
            <v>1790</v>
          </cell>
        </row>
        <row r="35">
          <cell r="E35">
            <v>2859</v>
          </cell>
        </row>
        <row r="36">
          <cell r="E36">
            <v>87513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10194</v>
          </cell>
        </row>
        <row r="28">
          <cell r="E28">
            <v>31202</v>
          </cell>
        </row>
        <row r="31">
          <cell r="E31">
            <v>894</v>
          </cell>
        </row>
        <row r="35">
          <cell r="E35">
            <v>3217</v>
          </cell>
        </row>
        <row r="36">
          <cell r="E36">
            <v>45507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5905</v>
          </cell>
        </row>
        <row r="28">
          <cell r="E28">
            <v>19975</v>
          </cell>
        </row>
        <row r="31">
          <cell r="E31">
            <v>585</v>
          </cell>
        </row>
        <row r="35">
          <cell r="E35">
            <v>1225</v>
          </cell>
        </row>
        <row r="36">
          <cell r="E36">
            <v>27690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51705</v>
          </cell>
        </row>
        <row r="28">
          <cell r="E28">
            <v>161421</v>
          </cell>
        </row>
        <row r="31">
          <cell r="E31">
            <v>3089</v>
          </cell>
        </row>
        <row r="35">
          <cell r="E35">
            <v>16442</v>
          </cell>
        </row>
        <row r="36">
          <cell r="E36">
            <v>232657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38136</v>
          </cell>
        </row>
        <row r="28">
          <cell r="E28">
            <v>126473</v>
          </cell>
        </row>
        <row r="31">
          <cell r="E31">
            <v>2417</v>
          </cell>
        </row>
        <row r="35">
          <cell r="E35">
            <v>8385</v>
          </cell>
        </row>
        <row r="36">
          <cell r="E36">
            <v>175411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9054</v>
          </cell>
        </row>
        <row r="28">
          <cell r="E28">
            <v>11061</v>
          </cell>
        </row>
        <row r="31">
          <cell r="E31">
            <v>338</v>
          </cell>
        </row>
        <row r="35">
          <cell r="E35">
            <v>1151</v>
          </cell>
        </row>
        <row r="36">
          <cell r="E36">
            <v>21604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11836</v>
          </cell>
        </row>
        <row r="28">
          <cell r="E28">
            <v>27591</v>
          </cell>
        </row>
        <row r="31">
          <cell r="E31">
            <v>1049</v>
          </cell>
        </row>
        <row r="35">
          <cell r="E35">
            <v>2655</v>
          </cell>
        </row>
        <row r="36">
          <cell r="E36">
            <v>43131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11145</v>
          </cell>
        </row>
        <row r="28">
          <cell r="E28">
            <v>44439</v>
          </cell>
        </row>
        <row r="31">
          <cell r="E31">
            <v>1074</v>
          </cell>
        </row>
        <row r="35">
          <cell r="E35">
            <v>2032</v>
          </cell>
        </row>
        <row r="36">
          <cell r="E36">
            <v>58690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41903</v>
          </cell>
        </row>
        <row r="28">
          <cell r="E28">
            <v>138321</v>
          </cell>
        </row>
        <row r="31">
          <cell r="E31">
            <v>2331</v>
          </cell>
        </row>
        <row r="35">
          <cell r="E35">
            <v>8129</v>
          </cell>
        </row>
        <row r="36">
          <cell r="E36">
            <v>190684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5972</v>
          </cell>
        </row>
        <row r="28">
          <cell r="E28">
            <v>15677</v>
          </cell>
        </row>
        <row r="31">
          <cell r="E31">
            <v>504</v>
          </cell>
        </row>
        <row r="35">
          <cell r="E35">
            <v>839</v>
          </cell>
        </row>
        <row r="36">
          <cell r="E36">
            <v>22992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66642</v>
          </cell>
        </row>
        <row r="28">
          <cell r="E28">
            <v>326093</v>
          </cell>
        </row>
        <row r="31">
          <cell r="E31">
            <v>8391</v>
          </cell>
        </row>
        <row r="35">
          <cell r="E35">
            <v>12761</v>
          </cell>
        </row>
        <row r="36">
          <cell r="E36">
            <v>413887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3098</v>
          </cell>
        </row>
        <row r="28">
          <cell r="E28">
            <v>8248</v>
          </cell>
        </row>
        <row r="31">
          <cell r="E31">
            <v>395</v>
          </cell>
        </row>
        <row r="35">
          <cell r="E35">
            <v>430</v>
          </cell>
        </row>
        <row r="36">
          <cell r="E36">
            <v>12171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30963</v>
          </cell>
        </row>
        <row r="28">
          <cell r="E28">
            <v>125593</v>
          </cell>
        </row>
        <row r="31">
          <cell r="E31">
            <v>1273</v>
          </cell>
        </row>
        <row r="35">
          <cell r="E35">
            <v>5039</v>
          </cell>
        </row>
        <row r="36">
          <cell r="E36">
            <v>162868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2740</v>
          </cell>
        </row>
        <row r="28">
          <cell r="E28">
            <v>9526</v>
          </cell>
        </row>
        <row r="31">
          <cell r="E31">
            <v>254</v>
          </cell>
        </row>
        <row r="35">
          <cell r="E35">
            <v>418</v>
          </cell>
        </row>
        <row r="36">
          <cell r="E36">
            <v>12938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19112</v>
          </cell>
        </row>
        <row r="28">
          <cell r="E28">
            <v>64282</v>
          </cell>
        </row>
        <row r="31">
          <cell r="E31">
            <v>1932</v>
          </cell>
        </row>
        <row r="35">
          <cell r="E35">
            <v>3440</v>
          </cell>
        </row>
        <row r="36">
          <cell r="E36">
            <v>88766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102710</v>
          </cell>
        </row>
        <row r="28">
          <cell r="E28">
            <v>401513</v>
          </cell>
        </row>
        <row r="31">
          <cell r="E31">
            <v>8869</v>
          </cell>
        </row>
        <row r="35">
          <cell r="E35">
            <v>21092</v>
          </cell>
        </row>
        <row r="36">
          <cell r="E36">
            <v>534184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25884</v>
          </cell>
        </row>
        <row r="28">
          <cell r="E28">
            <v>36036</v>
          </cell>
        </row>
        <row r="31">
          <cell r="E31">
            <v>1534</v>
          </cell>
        </row>
        <row r="35">
          <cell r="E35">
            <v>3405</v>
          </cell>
        </row>
        <row r="36">
          <cell r="E36">
            <v>66859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19253</v>
          </cell>
        </row>
        <row r="28">
          <cell r="E28">
            <v>56392</v>
          </cell>
        </row>
        <row r="31">
          <cell r="E31">
            <v>2230</v>
          </cell>
        </row>
        <row r="35">
          <cell r="E35">
            <v>4300</v>
          </cell>
        </row>
        <row r="36">
          <cell r="E36">
            <v>82175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5957</v>
          </cell>
        </row>
        <row r="28">
          <cell r="E28">
            <v>14962</v>
          </cell>
        </row>
        <row r="31">
          <cell r="E31">
            <v>531</v>
          </cell>
        </row>
        <row r="35">
          <cell r="E35">
            <v>949</v>
          </cell>
        </row>
        <row r="36">
          <cell r="E36">
            <v>22399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33730</v>
          </cell>
        </row>
        <row r="28">
          <cell r="E28">
            <v>133172</v>
          </cell>
        </row>
        <row r="31">
          <cell r="E31">
            <v>2433</v>
          </cell>
        </row>
        <row r="35">
          <cell r="E35">
            <v>6599</v>
          </cell>
        </row>
        <row r="36">
          <cell r="E36">
            <v>175934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2127</v>
          </cell>
        </row>
        <row r="40">
          <cell r="E40">
            <v>15446</v>
          </cell>
        </row>
        <row r="47">
          <cell r="E47">
            <v>627</v>
          </cell>
        </row>
        <row r="54">
          <cell r="E54">
            <v>655</v>
          </cell>
        </row>
        <row r="61">
          <cell r="E61">
            <v>18855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2508</v>
          </cell>
        </row>
        <row r="40">
          <cell r="E40">
            <v>15542</v>
          </cell>
        </row>
        <row r="47">
          <cell r="E47">
            <v>1839</v>
          </cell>
        </row>
        <row r="54">
          <cell r="E54">
            <v>671</v>
          </cell>
        </row>
        <row r="61">
          <cell r="E61">
            <v>20560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1708492</v>
          </cell>
        </row>
        <row r="39">
          <cell r="E39">
            <v>6608718</v>
          </cell>
        </row>
        <row r="46">
          <cell r="E46">
            <v>307166</v>
          </cell>
        </row>
        <row r="53">
          <cell r="E53">
            <v>420699</v>
          </cell>
        </row>
        <row r="60">
          <cell r="E60">
            <v>9045497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9779</v>
          </cell>
        </row>
        <row r="28">
          <cell r="E28">
            <v>38285</v>
          </cell>
        </row>
        <row r="31">
          <cell r="E31">
            <v>1013</v>
          </cell>
        </row>
        <row r="35">
          <cell r="E35">
            <v>2482</v>
          </cell>
        </row>
        <row r="36">
          <cell r="E36">
            <v>51559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59709</v>
          </cell>
        </row>
        <row r="28">
          <cell r="E28">
            <v>306643</v>
          </cell>
        </row>
        <row r="31">
          <cell r="E31">
            <v>3645</v>
          </cell>
        </row>
        <row r="35">
          <cell r="E35">
            <v>8954</v>
          </cell>
        </row>
        <row r="36">
          <cell r="E36">
            <v>378951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20000</v>
          </cell>
        </row>
        <row r="28">
          <cell r="E28">
            <v>100087</v>
          </cell>
        </row>
        <row r="31">
          <cell r="E31">
            <v>1478</v>
          </cell>
        </row>
        <row r="35">
          <cell r="E35">
            <v>3560</v>
          </cell>
        </row>
        <row r="36">
          <cell r="E36">
            <v>125125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9584</v>
          </cell>
        </row>
        <row r="28">
          <cell r="E28">
            <v>26038</v>
          </cell>
        </row>
        <row r="31">
          <cell r="E31">
            <v>1736</v>
          </cell>
        </row>
        <row r="35">
          <cell r="E35">
            <v>2482</v>
          </cell>
        </row>
        <row r="36">
          <cell r="E36">
            <v>39840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72903</v>
          </cell>
        </row>
        <row r="28">
          <cell r="E28">
            <v>78249</v>
          </cell>
        </row>
        <row r="31">
          <cell r="E31">
            <v>2992</v>
          </cell>
        </row>
        <row r="35">
          <cell r="E35">
            <v>6436</v>
          </cell>
        </row>
        <row r="36">
          <cell r="E36">
            <v>160580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26856</v>
          </cell>
        </row>
        <row r="28">
          <cell r="E28">
            <v>21606</v>
          </cell>
        </row>
        <row r="31">
          <cell r="E31">
            <v>1015</v>
          </cell>
        </row>
        <row r="35">
          <cell r="E35">
            <v>4237</v>
          </cell>
        </row>
        <row r="36">
          <cell r="E36">
            <v>53714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39505</v>
          </cell>
        </row>
        <row r="28">
          <cell r="E28">
            <v>101005</v>
          </cell>
        </row>
        <row r="31">
          <cell r="E31">
            <v>3841</v>
          </cell>
        </row>
        <row r="35">
          <cell r="E35">
            <v>9690</v>
          </cell>
        </row>
        <row r="36">
          <cell r="E36">
            <v>154041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4236</v>
          </cell>
        </row>
        <row r="28">
          <cell r="E28">
            <v>15762</v>
          </cell>
        </row>
        <row r="31">
          <cell r="E31">
            <v>523</v>
          </cell>
        </row>
        <row r="35">
          <cell r="E35">
            <v>366</v>
          </cell>
        </row>
        <row r="36">
          <cell r="E36">
            <v>20887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17257</v>
          </cell>
        </row>
        <row r="28">
          <cell r="E28">
            <v>71391</v>
          </cell>
        </row>
        <row r="31">
          <cell r="E31">
            <v>1500</v>
          </cell>
        </row>
        <row r="35">
          <cell r="E35">
            <v>2480</v>
          </cell>
        </row>
        <row r="36">
          <cell r="E36">
            <v>92628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37119</v>
          </cell>
        </row>
        <row r="28">
          <cell r="E28">
            <v>155250</v>
          </cell>
        </row>
        <row r="31">
          <cell r="E31">
            <v>1695</v>
          </cell>
        </row>
        <row r="35">
          <cell r="E35">
            <v>4626</v>
          </cell>
        </row>
        <row r="36">
          <cell r="E36">
            <v>198690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176257</v>
          </cell>
        </row>
        <row r="28">
          <cell r="E28">
            <v>676745</v>
          </cell>
        </row>
        <row r="31">
          <cell r="E31">
            <v>10163</v>
          </cell>
        </row>
        <row r="35">
          <cell r="E35">
            <v>34672</v>
          </cell>
        </row>
        <row r="36">
          <cell r="E36">
            <v>897837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33391</v>
          </cell>
        </row>
        <row r="28">
          <cell r="E28">
            <v>98104</v>
          </cell>
        </row>
        <row r="31">
          <cell r="E31">
            <v>2666</v>
          </cell>
        </row>
        <row r="35">
          <cell r="E35">
            <v>7428</v>
          </cell>
        </row>
        <row r="36">
          <cell r="E36">
            <v>141589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11794</v>
          </cell>
        </row>
        <row r="28">
          <cell r="E28">
            <v>41211</v>
          </cell>
        </row>
        <row r="31">
          <cell r="E31">
            <v>1117</v>
          </cell>
        </row>
        <row r="35">
          <cell r="E35">
            <v>2066</v>
          </cell>
        </row>
        <row r="36">
          <cell r="E36">
            <v>56188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9852</v>
          </cell>
        </row>
        <row r="28">
          <cell r="E28">
            <v>34013</v>
          </cell>
        </row>
        <row r="31">
          <cell r="E31">
            <v>807</v>
          </cell>
        </row>
        <row r="35">
          <cell r="E35">
            <v>1429</v>
          </cell>
        </row>
        <row r="36">
          <cell r="E36">
            <v>46101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35996</v>
          </cell>
        </row>
        <row r="28">
          <cell r="E28">
            <v>169599</v>
          </cell>
        </row>
        <row r="31">
          <cell r="E31">
            <v>6508</v>
          </cell>
        </row>
        <row r="35">
          <cell r="E35">
            <v>5544</v>
          </cell>
        </row>
        <row r="36">
          <cell r="E36">
            <v>217647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21912</v>
          </cell>
        </row>
        <row r="28">
          <cell r="E28">
            <v>66301</v>
          </cell>
        </row>
        <row r="31">
          <cell r="E31">
            <v>1850</v>
          </cell>
        </row>
        <row r="35">
          <cell r="E35">
            <v>4335</v>
          </cell>
        </row>
        <row r="36">
          <cell r="E36">
            <v>94398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22363</v>
          </cell>
        </row>
        <row r="28">
          <cell r="E28">
            <v>26533</v>
          </cell>
        </row>
        <row r="31">
          <cell r="E31">
            <v>647</v>
          </cell>
        </row>
        <row r="35">
          <cell r="E35">
            <v>1753</v>
          </cell>
        </row>
        <row r="36">
          <cell r="E36">
            <v>51296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17982</v>
          </cell>
        </row>
        <row r="28">
          <cell r="E28">
            <v>74485</v>
          </cell>
        </row>
        <row r="31">
          <cell r="E31">
            <v>1399</v>
          </cell>
        </row>
        <row r="35">
          <cell r="E35">
            <v>3051</v>
          </cell>
        </row>
        <row r="36">
          <cell r="E36">
            <v>96917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12482</v>
          </cell>
        </row>
        <row r="28">
          <cell r="E28">
            <v>49311</v>
          </cell>
        </row>
        <row r="31">
          <cell r="E31">
            <v>656</v>
          </cell>
        </row>
        <row r="35">
          <cell r="E35">
            <v>2280</v>
          </cell>
        </row>
        <row r="36">
          <cell r="E36">
            <v>64729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22097</v>
          </cell>
        </row>
        <row r="28">
          <cell r="E28">
            <v>103420</v>
          </cell>
        </row>
        <row r="31">
          <cell r="E31">
            <v>3025</v>
          </cell>
        </row>
        <row r="35">
          <cell r="E35">
            <v>3545</v>
          </cell>
        </row>
        <row r="36">
          <cell r="E36">
            <v>132087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36395</v>
          </cell>
        </row>
        <row r="28">
          <cell r="E28">
            <v>125733</v>
          </cell>
        </row>
        <row r="31">
          <cell r="E31">
            <v>3870</v>
          </cell>
        </row>
        <row r="35">
          <cell r="E35">
            <v>7843</v>
          </cell>
        </row>
        <row r="36">
          <cell r="E36">
            <v>173841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4578</v>
          </cell>
        </row>
        <row r="28">
          <cell r="E28">
            <v>21698</v>
          </cell>
        </row>
        <row r="31">
          <cell r="E31">
            <v>624</v>
          </cell>
        </row>
        <row r="35">
          <cell r="E35">
            <v>652</v>
          </cell>
        </row>
        <row r="36">
          <cell r="E36">
            <v>27552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15959</v>
          </cell>
        </row>
        <row r="28">
          <cell r="E28">
            <v>56022</v>
          </cell>
        </row>
        <row r="31">
          <cell r="E31">
            <v>1406</v>
          </cell>
        </row>
        <row r="35">
          <cell r="E35">
            <v>3723</v>
          </cell>
        </row>
        <row r="36">
          <cell r="E36">
            <v>77110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21196</v>
          </cell>
        </row>
        <row r="28">
          <cell r="E28">
            <v>87223</v>
          </cell>
        </row>
        <row r="31">
          <cell r="E31">
            <v>1686</v>
          </cell>
        </row>
        <row r="35">
          <cell r="E35">
            <v>2927</v>
          </cell>
        </row>
        <row r="36">
          <cell r="E36">
            <v>113032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30763</v>
          </cell>
        </row>
        <row r="28">
          <cell r="E28">
            <v>176968</v>
          </cell>
        </row>
        <row r="31">
          <cell r="E31">
            <v>3595</v>
          </cell>
        </row>
        <row r="35">
          <cell r="E35">
            <v>6775</v>
          </cell>
        </row>
        <row r="36">
          <cell r="E36">
            <v>218101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5958</v>
          </cell>
        </row>
        <row r="28">
          <cell r="E28">
            <v>24877</v>
          </cell>
        </row>
        <row r="31">
          <cell r="E31">
            <v>584</v>
          </cell>
        </row>
        <row r="35">
          <cell r="E35">
            <v>1440</v>
          </cell>
        </row>
        <row r="36">
          <cell r="E36">
            <v>32859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13708</v>
          </cell>
        </row>
        <row r="28">
          <cell r="E28">
            <v>60932</v>
          </cell>
        </row>
        <row r="31">
          <cell r="E31">
            <v>2305</v>
          </cell>
        </row>
        <row r="35">
          <cell r="E35">
            <v>2484</v>
          </cell>
        </row>
        <row r="36">
          <cell r="E36">
            <v>79429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17217</v>
          </cell>
        </row>
        <row r="28">
          <cell r="E28">
            <v>14432</v>
          </cell>
        </row>
        <row r="31">
          <cell r="E31">
            <v>746</v>
          </cell>
        </row>
        <row r="35">
          <cell r="E35">
            <v>3702</v>
          </cell>
        </row>
        <row r="36">
          <cell r="E36">
            <v>36097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5367</v>
          </cell>
        </row>
        <row r="28">
          <cell r="E28">
            <v>17339</v>
          </cell>
        </row>
        <row r="31">
          <cell r="E31">
            <v>497</v>
          </cell>
        </row>
        <row r="35">
          <cell r="E35">
            <v>647</v>
          </cell>
        </row>
        <row r="36">
          <cell r="E36">
            <v>23850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17739</v>
          </cell>
        </row>
        <row r="28">
          <cell r="E28">
            <v>59514</v>
          </cell>
        </row>
        <row r="31">
          <cell r="E31">
            <v>1918</v>
          </cell>
        </row>
        <row r="35">
          <cell r="E35">
            <v>2423</v>
          </cell>
        </row>
        <row r="36">
          <cell r="E36">
            <v>81594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16566</v>
          </cell>
        </row>
        <row r="28">
          <cell r="E28">
            <v>54631</v>
          </cell>
        </row>
        <row r="31">
          <cell r="E31">
            <v>1296</v>
          </cell>
        </row>
        <row r="35">
          <cell r="E35">
            <v>3855</v>
          </cell>
        </row>
        <row r="36">
          <cell r="E36">
            <v>76348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12896</v>
          </cell>
        </row>
        <row r="28">
          <cell r="E28">
            <v>37763</v>
          </cell>
        </row>
        <row r="31">
          <cell r="E31">
            <v>700</v>
          </cell>
        </row>
        <row r="35">
          <cell r="E35">
            <v>1230</v>
          </cell>
        </row>
        <row r="36">
          <cell r="E36">
            <v>52589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10542</v>
          </cell>
        </row>
        <row r="28">
          <cell r="E28">
            <v>26799</v>
          </cell>
        </row>
        <row r="31">
          <cell r="E31">
            <v>1055</v>
          </cell>
        </row>
        <row r="35">
          <cell r="E35">
            <v>2311</v>
          </cell>
        </row>
        <row r="36">
          <cell r="E36">
            <v>40707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207242</v>
          </cell>
        </row>
        <row r="28">
          <cell r="E28">
            <v>983625</v>
          </cell>
        </row>
        <row r="31">
          <cell r="E31">
            <v>34078</v>
          </cell>
        </row>
        <row r="35">
          <cell r="E35">
            <v>39708</v>
          </cell>
        </row>
        <row r="36">
          <cell r="E36">
            <v>1264653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59897</v>
          </cell>
        </row>
        <row r="28">
          <cell r="E28">
            <v>351310</v>
          </cell>
        </row>
        <row r="31">
          <cell r="E31">
            <v>6204</v>
          </cell>
        </row>
        <row r="35">
          <cell r="E35">
            <v>12712</v>
          </cell>
        </row>
        <row r="36">
          <cell r="E36">
            <v>430123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41802</v>
          </cell>
        </row>
        <row r="28">
          <cell r="E28">
            <v>189716</v>
          </cell>
        </row>
        <row r="31">
          <cell r="E31">
            <v>7361</v>
          </cell>
        </row>
        <row r="35">
          <cell r="E35">
            <v>8224</v>
          </cell>
        </row>
        <row r="36">
          <cell r="E36">
            <v>247103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14125</v>
          </cell>
        </row>
        <row r="28">
          <cell r="E28">
            <v>63228</v>
          </cell>
        </row>
        <row r="31">
          <cell r="E31">
            <v>1617</v>
          </cell>
        </row>
        <row r="35">
          <cell r="E35">
            <v>2419</v>
          </cell>
        </row>
        <row r="36">
          <cell r="E36">
            <v>81389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9519</v>
          </cell>
        </row>
        <row r="28">
          <cell r="E28">
            <v>29825</v>
          </cell>
        </row>
        <row r="31">
          <cell r="E31">
            <v>915</v>
          </cell>
        </row>
        <row r="35">
          <cell r="E35">
            <v>2585</v>
          </cell>
        </row>
        <row r="36">
          <cell r="E36">
            <v>42844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432357</v>
          </cell>
        </row>
        <row r="28">
          <cell r="E28">
            <v>364329</v>
          </cell>
        </row>
        <row r="31">
          <cell r="E31">
            <v>20232</v>
          </cell>
        </row>
        <row r="35">
          <cell r="E35">
            <v>63870</v>
          </cell>
        </row>
        <row r="36">
          <cell r="E36">
            <v>880788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5245</v>
          </cell>
        </row>
        <row r="28">
          <cell r="E28">
            <v>16830</v>
          </cell>
        </row>
        <row r="31">
          <cell r="E31">
            <v>509</v>
          </cell>
        </row>
        <row r="35">
          <cell r="E35">
            <v>957</v>
          </cell>
        </row>
        <row r="36">
          <cell r="E36">
            <v>23541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43421</v>
          </cell>
        </row>
        <row r="28">
          <cell r="E28">
            <v>154067</v>
          </cell>
        </row>
        <row r="31">
          <cell r="E31">
            <v>2771</v>
          </cell>
        </row>
        <row r="35">
          <cell r="E35">
            <v>11920</v>
          </cell>
        </row>
        <row r="36">
          <cell r="E36">
            <v>212179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34495</v>
          </cell>
        </row>
        <row r="28">
          <cell r="E28">
            <v>116328</v>
          </cell>
        </row>
        <row r="31">
          <cell r="E31">
            <v>2399</v>
          </cell>
        </row>
        <row r="35">
          <cell r="E35">
            <v>6922</v>
          </cell>
        </row>
        <row r="36">
          <cell r="E36">
            <v>160144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9624</v>
          </cell>
        </row>
        <row r="28">
          <cell r="E28">
            <v>24083</v>
          </cell>
        </row>
        <row r="31">
          <cell r="E31">
            <v>1007</v>
          </cell>
        </row>
        <row r="35">
          <cell r="E35">
            <v>2409</v>
          </cell>
        </row>
        <row r="36">
          <cell r="E36">
            <v>37123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9748</v>
          </cell>
        </row>
        <row r="28">
          <cell r="E28">
            <v>35924</v>
          </cell>
        </row>
        <row r="31">
          <cell r="E31">
            <v>974</v>
          </cell>
        </row>
        <row r="35">
          <cell r="E35">
            <v>1729</v>
          </cell>
        </row>
        <row r="36">
          <cell r="E36">
            <v>48375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35442</v>
          </cell>
        </row>
        <row r="28">
          <cell r="E28">
            <v>137520</v>
          </cell>
        </row>
        <row r="31">
          <cell r="E31">
            <v>2728</v>
          </cell>
        </row>
        <row r="35">
          <cell r="E35">
            <v>6375</v>
          </cell>
        </row>
        <row r="36">
          <cell r="E36">
            <v>182065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4763</v>
          </cell>
        </row>
        <row r="28">
          <cell r="E28">
            <v>15147</v>
          </cell>
        </row>
        <row r="31">
          <cell r="E31">
            <v>400</v>
          </cell>
        </row>
        <row r="35">
          <cell r="E35">
            <v>697</v>
          </cell>
        </row>
        <row r="36">
          <cell r="E36">
            <v>21007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57751</v>
          </cell>
        </row>
        <row r="28">
          <cell r="E28">
            <v>315233</v>
          </cell>
        </row>
        <row r="31">
          <cell r="E31">
            <v>12548</v>
          </cell>
        </row>
        <row r="35">
          <cell r="E35">
            <v>9151</v>
          </cell>
        </row>
        <row r="36">
          <cell r="E36">
            <v>394683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2938</v>
          </cell>
        </row>
        <row r="28">
          <cell r="E28">
            <v>7711</v>
          </cell>
        </row>
        <row r="31">
          <cell r="E31">
            <v>274</v>
          </cell>
        </row>
        <row r="35">
          <cell r="E35">
            <v>458</v>
          </cell>
        </row>
        <row r="36">
          <cell r="E36">
            <v>11381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25743</v>
          </cell>
        </row>
        <row r="28">
          <cell r="E28">
            <v>116865</v>
          </cell>
        </row>
        <row r="31">
          <cell r="E31">
            <v>1081</v>
          </cell>
        </row>
        <row r="35">
          <cell r="E35">
            <v>3455</v>
          </cell>
        </row>
        <row r="36">
          <cell r="E36">
            <v>147144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100048</v>
          </cell>
        </row>
        <row r="28">
          <cell r="E28">
            <v>179911</v>
          </cell>
        </row>
        <row r="31">
          <cell r="E31">
            <v>4433</v>
          </cell>
        </row>
        <row r="35">
          <cell r="E35">
            <v>15041</v>
          </cell>
        </row>
        <row r="36">
          <cell r="E36">
            <v>299433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2141</v>
          </cell>
        </row>
        <row r="28">
          <cell r="E28">
            <v>9110</v>
          </cell>
        </row>
        <row r="31">
          <cell r="E31">
            <v>255</v>
          </cell>
        </row>
        <row r="35">
          <cell r="E35">
            <v>506</v>
          </cell>
        </row>
        <row r="36">
          <cell r="E36">
            <v>12012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15006</v>
          </cell>
        </row>
        <row r="28">
          <cell r="E28">
            <v>57723</v>
          </cell>
        </row>
        <row r="31">
          <cell r="E31">
            <v>1295</v>
          </cell>
        </row>
        <row r="35">
          <cell r="E35">
            <v>2165</v>
          </cell>
        </row>
        <row r="36">
          <cell r="E36">
            <v>76189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85617</v>
          </cell>
        </row>
        <row r="28">
          <cell r="E28">
            <v>409738</v>
          </cell>
        </row>
        <row r="31">
          <cell r="E31">
            <v>8916</v>
          </cell>
        </row>
        <row r="35">
          <cell r="E35">
            <v>15966</v>
          </cell>
        </row>
        <row r="36">
          <cell r="E36">
            <v>520237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17711</v>
          </cell>
        </row>
        <row r="28">
          <cell r="E28">
            <v>53166</v>
          </cell>
        </row>
        <row r="31">
          <cell r="E31">
            <v>1550</v>
          </cell>
        </row>
        <row r="35">
          <cell r="E35">
            <v>3684</v>
          </cell>
        </row>
        <row r="36">
          <cell r="E36">
            <v>76111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5642</v>
          </cell>
        </row>
        <row r="28">
          <cell r="E28">
            <v>14184</v>
          </cell>
        </row>
        <row r="31">
          <cell r="E31">
            <v>341</v>
          </cell>
        </row>
        <row r="35">
          <cell r="E35">
            <v>848</v>
          </cell>
        </row>
        <row r="36">
          <cell r="E36">
            <v>21015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28163</v>
          </cell>
        </row>
        <row r="28">
          <cell r="E28">
            <v>124763</v>
          </cell>
        </row>
        <row r="31">
          <cell r="E31">
            <v>2474</v>
          </cell>
        </row>
        <row r="35">
          <cell r="E35">
            <v>5241</v>
          </cell>
        </row>
        <row r="36">
          <cell r="E36">
            <v>160641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2042</v>
          </cell>
        </row>
        <row r="40">
          <cell r="E40">
            <v>16417</v>
          </cell>
        </row>
        <row r="47">
          <cell r="E47">
            <v>1193</v>
          </cell>
        </row>
        <row r="54">
          <cell r="E54">
            <v>502</v>
          </cell>
        </row>
        <row r="61">
          <cell r="E61">
            <v>20154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2230</v>
          </cell>
        </row>
        <row r="40">
          <cell r="E40">
            <v>13605</v>
          </cell>
        </row>
        <row r="47">
          <cell r="E47">
            <v>1580</v>
          </cell>
        </row>
        <row r="54">
          <cell r="E54">
            <v>650</v>
          </cell>
        </row>
        <row r="61">
          <cell r="E61">
            <v>18065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1451139</v>
          </cell>
        </row>
        <row r="39">
          <cell r="E39">
            <v>6307577</v>
          </cell>
        </row>
        <row r="46">
          <cell r="E46">
            <v>265991</v>
          </cell>
        </row>
        <row r="53">
          <cell r="E53">
            <v>337364</v>
          </cell>
        </row>
        <row r="60">
          <cell r="E60">
            <v>8362377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10533</v>
          </cell>
        </row>
        <row r="28">
          <cell r="E28">
            <v>33277</v>
          </cell>
        </row>
        <row r="31">
          <cell r="E31">
            <v>878</v>
          </cell>
        </row>
        <row r="35">
          <cell r="E35">
            <v>2618</v>
          </cell>
        </row>
        <row r="36">
          <cell r="E36">
            <v>47306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81157</v>
          </cell>
        </row>
        <row r="28">
          <cell r="E28">
            <v>96964</v>
          </cell>
        </row>
        <row r="31">
          <cell r="E31">
            <v>4897</v>
          </cell>
        </row>
        <row r="35">
          <cell r="E35">
            <v>9621</v>
          </cell>
        </row>
        <row r="36">
          <cell r="E36">
            <v>192639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57769</v>
          </cell>
        </row>
        <row r="28">
          <cell r="E28">
            <v>304059</v>
          </cell>
        </row>
        <row r="31">
          <cell r="E31">
            <v>4538</v>
          </cell>
        </row>
        <row r="35">
          <cell r="E35">
            <v>9640</v>
          </cell>
        </row>
        <row r="36">
          <cell r="E36">
            <v>376006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18169</v>
          </cell>
        </row>
        <row r="28">
          <cell r="E28">
            <v>101974</v>
          </cell>
        </row>
        <row r="31">
          <cell r="E31">
            <v>1908</v>
          </cell>
        </row>
        <row r="35">
          <cell r="E35">
            <v>3573</v>
          </cell>
        </row>
        <row r="36">
          <cell r="E36">
            <v>125624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8317</v>
          </cell>
        </row>
        <row r="28">
          <cell r="E28">
            <v>23148</v>
          </cell>
        </row>
        <row r="31">
          <cell r="E31">
            <v>1375</v>
          </cell>
        </row>
        <row r="35">
          <cell r="E35">
            <v>1882</v>
          </cell>
        </row>
        <row r="36">
          <cell r="E36">
            <v>34722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38043</v>
          </cell>
        </row>
        <row r="28">
          <cell r="E28">
            <v>96882</v>
          </cell>
        </row>
        <row r="31">
          <cell r="E31">
            <v>3467</v>
          </cell>
        </row>
        <row r="35">
          <cell r="E35">
            <v>11686</v>
          </cell>
        </row>
        <row r="36">
          <cell r="E36">
            <v>150078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4295</v>
          </cell>
        </row>
        <row r="28">
          <cell r="E28">
            <v>15323</v>
          </cell>
        </row>
        <row r="31">
          <cell r="E31">
            <v>378</v>
          </cell>
        </row>
        <row r="35">
          <cell r="E35">
            <v>370</v>
          </cell>
        </row>
        <row r="36">
          <cell r="E36">
            <v>20366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17204</v>
          </cell>
        </row>
        <row r="28">
          <cell r="E28">
            <v>70706</v>
          </cell>
        </row>
        <row r="31">
          <cell r="E31">
            <v>1797</v>
          </cell>
        </row>
        <row r="35">
          <cell r="E35">
            <v>2605</v>
          </cell>
        </row>
        <row r="36">
          <cell r="E36">
            <v>92312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37365</v>
          </cell>
        </row>
        <row r="28">
          <cell r="E28">
            <v>161894</v>
          </cell>
        </row>
        <row r="31">
          <cell r="E31">
            <v>1771</v>
          </cell>
        </row>
        <row r="35">
          <cell r="E35">
            <v>4197</v>
          </cell>
        </row>
        <row r="36">
          <cell r="E36">
            <v>205227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165033</v>
          </cell>
        </row>
        <row r="28">
          <cell r="E28">
            <v>663902</v>
          </cell>
        </row>
        <row r="31">
          <cell r="E31">
            <v>10285</v>
          </cell>
        </row>
        <row r="35">
          <cell r="E35">
            <v>35312</v>
          </cell>
        </row>
        <row r="36">
          <cell r="E36">
            <v>874532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29493</v>
          </cell>
        </row>
        <row r="28">
          <cell r="E28">
            <v>95437</v>
          </cell>
        </row>
        <row r="31">
          <cell r="E31">
            <v>2249</v>
          </cell>
        </row>
        <row r="35">
          <cell r="E35">
            <v>8003</v>
          </cell>
        </row>
        <row r="36">
          <cell r="E36">
            <v>135182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11272</v>
          </cell>
        </row>
        <row r="28">
          <cell r="E28">
            <v>37966</v>
          </cell>
        </row>
        <row r="31">
          <cell r="E31">
            <v>1008</v>
          </cell>
        </row>
        <row r="35">
          <cell r="E35">
            <v>2410</v>
          </cell>
        </row>
        <row r="36">
          <cell r="E36">
            <v>52656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24947</v>
          </cell>
        </row>
        <row r="28">
          <cell r="E28">
            <v>33084</v>
          </cell>
        </row>
        <row r="31">
          <cell r="E31">
            <v>1488</v>
          </cell>
        </row>
        <row r="35">
          <cell r="E35">
            <v>4381</v>
          </cell>
        </row>
        <row r="36">
          <cell r="E36">
            <v>63900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9472</v>
          </cell>
        </row>
        <row r="28">
          <cell r="E28">
            <v>34240</v>
          </cell>
        </row>
        <row r="31">
          <cell r="E31">
            <v>846</v>
          </cell>
        </row>
        <row r="35">
          <cell r="E35">
            <v>1489</v>
          </cell>
        </row>
        <row r="36">
          <cell r="E36">
            <v>46047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34332</v>
          </cell>
        </row>
        <row r="28">
          <cell r="E28">
            <v>170093</v>
          </cell>
        </row>
        <row r="31">
          <cell r="E31">
            <v>5816</v>
          </cell>
        </row>
        <row r="35">
          <cell r="E35">
            <v>5269</v>
          </cell>
        </row>
        <row r="36">
          <cell r="E36">
            <v>215510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20674</v>
          </cell>
        </row>
        <row r="28">
          <cell r="E28">
            <v>63865</v>
          </cell>
        </row>
        <row r="31">
          <cell r="E31">
            <v>1523</v>
          </cell>
        </row>
        <row r="35">
          <cell r="E35">
            <v>4062</v>
          </cell>
        </row>
        <row r="36">
          <cell r="E36">
            <v>90124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16011</v>
          </cell>
        </row>
        <row r="28">
          <cell r="E28">
            <v>73507</v>
          </cell>
        </row>
        <row r="31">
          <cell r="E31">
            <v>1263</v>
          </cell>
        </row>
        <row r="35">
          <cell r="E35">
            <v>3056</v>
          </cell>
        </row>
        <row r="36">
          <cell r="E36">
            <v>93837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11754</v>
          </cell>
        </row>
        <row r="28">
          <cell r="E28">
            <v>50966</v>
          </cell>
        </row>
        <row r="31">
          <cell r="E31">
            <v>597</v>
          </cell>
        </row>
        <row r="35">
          <cell r="E35">
            <v>2907</v>
          </cell>
        </row>
        <row r="36">
          <cell r="E36">
            <v>66224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21080</v>
          </cell>
        </row>
        <row r="28">
          <cell r="E28">
            <v>97800</v>
          </cell>
        </row>
        <row r="31">
          <cell r="E31">
            <v>3300</v>
          </cell>
        </row>
        <row r="35">
          <cell r="E35">
            <v>4049</v>
          </cell>
        </row>
        <row r="36">
          <cell r="E36">
            <v>126229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33685</v>
          </cell>
        </row>
        <row r="28">
          <cell r="E28">
            <v>121238</v>
          </cell>
        </row>
        <row r="31">
          <cell r="E31">
            <v>3564</v>
          </cell>
        </row>
        <row r="35">
          <cell r="E35">
            <v>7879</v>
          </cell>
        </row>
        <row r="36">
          <cell r="E36">
            <v>166366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4026</v>
          </cell>
        </row>
        <row r="28">
          <cell r="E28">
            <v>19024</v>
          </cell>
        </row>
        <row r="31">
          <cell r="E31">
            <v>605</v>
          </cell>
        </row>
        <row r="35">
          <cell r="E35">
            <v>820</v>
          </cell>
        </row>
        <row r="36">
          <cell r="E36">
            <v>24475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14976</v>
          </cell>
        </row>
        <row r="28">
          <cell r="E28">
            <v>52524</v>
          </cell>
        </row>
        <row r="31">
          <cell r="E31">
            <v>1100</v>
          </cell>
        </row>
        <row r="35">
          <cell r="E35">
            <v>3473</v>
          </cell>
        </row>
        <row r="36">
          <cell r="E36">
            <v>72073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20194</v>
          </cell>
        </row>
        <row r="28">
          <cell r="E28">
            <v>87563</v>
          </cell>
        </row>
        <row r="31">
          <cell r="E31">
            <v>1448</v>
          </cell>
        </row>
        <row r="35">
          <cell r="E35">
            <v>2744</v>
          </cell>
        </row>
        <row r="36">
          <cell r="E36">
            <v>111949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16540</v>
          </cell>
        </row>
        <row r="28">
          <cell r="E28">
            <v>12102</v>
          </cell>
        </row>
        <row r="31">
          <cell r="E31">
            <v>649</v>
          </cell>
        </row>
        <row r="35">
          <cell r="E35">
            <v>4005</v>
          </cell>
        </row>
        <row r="36">
          <cell r="E36">
            <v>33296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30075</v>
          </cell>
        </row>
        <row r="28">
          <cell r="E28">
            <v>176861</v>
          </cell>
        </row>
        <row r="31">
          <cell r="E31">
            <v>4773</v>
          </cell>
        </row>
        <row r="35">
          <cell r="E35">
            <v>6737</v>
          </cell>
        </row>
        <row r="36">
          <cell r="E36">
            <v>218446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5269</v>
          </cell>
        </row>
        <row r="28">
          <cell r="E28">
            <v>23110</v>
          </cell>
        </row>
        <row r="31">
          <cell r="E31">
            <v>582</v>
          </cell>
        </row>
        <row r="35">
          <cell r="E35">
            <v>1523</v>
          </cell>
        </row>
        <row r="36">
          <cell r="E36">
            <v>30484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13415</v>
          </cell>
        </row>
        <row r="28">
          <cell r="E28">
            <v>66802</v>
          </cell>
        </row>
        <row r="31">
          <cell r="E31">
            <v>2501</v>
          </cell>
        </row>
        <row r="35">
          <cell r="E35">
            <v>2244</v>
          </cell>
        </row>
        <row r="36">
          <cell r="E36">
            <v>84962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5369</v>
          </cell>
        </row>
        <row r="28">
          <cell r="E28">
            <v>17353</v>
          </cell>
        </row>
        <row r="31">
          <cell r="E31">
            <v>579</v>
          </cell>
        </row>
        <row r="35">
          <cell r="E35">
            <v>685</v>
          </cell>
        </row>
        <row r="36">
          <cell r="E36">
            <v>23986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17406</v>
          </cell>
        </row>
        <row r="28">
          <cell r="E28">
            <v>59266</v>
          </cell>
        </row>
        <row r="31">
          <cell r="E31">
            <v>2028</v>
          </cell>
        </row>
        <row r="35">
          <cell r="E35">
            <v>2531</v>
          </cell>
        </row>
        <row r="36">
          <cell r="E36">
            <v>81231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16434</v>
          </cell>
        </row>
        <row r="28">
          <cell r="E28">
            <v>50202</v>
          </cell>
        </row>
        <row r="31">
          <cell r="E31">
            <v>1128</v>
          </cell>
        </row>
        <row r="35">
          <cell r="E35">
            <v>4173</v>
          </cell>
        </row>
        <row r="36">
          <cell r="E36">
            <v>71937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11253</v>
          </cell>
        </row>
        <row r="28">
          <cell r="E28">
            <v>37475</v>
          </cell>
        </row>
        <row r="31">
          <cell r="E31">
            <v>666</v>
          </cell>
        </row>
        <row r="35">
          <cell r="E35">
            <v>1479</v>
          </cell>
        </row>
        <row r="36">
          <cell r="E36">
            <v>50873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10133</v>
          </cell>
        </row>
        <row r="28">
          <cell r="E28">
            <v>25183</v>
          </cell>
        </row>
        <row r="31">
          <cell r="E31">
            <v>929</v>
          </cell>
        </row>
        <row r="35">
          <cell r="E35">
            <v>2550</v>
          </cell>
        </row>
        <row r="36">
          <cell r="E36">
            <v>38795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183244</v>
          </cell>
        </row>
        <row r="28">
          <cell r="E28">
            <v>925328</v>
          </cell>
        </row>
        <row r="31">
          <cell r="E31">
            <v>29809</v>
          </cell>
        </row>
        <row r="35">
          <cell r="E35">
            <v>38517</v>
          </cell>
        </row>
        <row r="36">
          <cell r="E36">
            <v>1176898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55535</v>
          </cell>
        </row>
        <row r="28">
          <cell r="E28">
            <v>347645</v>
          </cell>
        </row>
        <row r="31">
          <cell r="E31">
            <v>8807</v>
          </cell>
        </row>
        <row r="35">
          <cell r="E35">
            <v>13042</v>
          </cell>
        </row>
        <row r="36">
          <cell r="E36">
            <v>425029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7475</v>
          </cell>
        </row>
        <row r="28">
          <cell r="E28">
            <v>8594</v>
          </cell>
        </row>
        <row r="31">
          <cell r="E31">
            <v>368</v>
          </cell>
        </row>
        <row r="35">
          <cell r="E35">
            <v>1421</v>
          </cell>
        </row>
        <row r="36">
          <cell r="E36">
            <v>17858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39705</v>
          </cell>
        </row>
        <row r="28">
          <cell r="E28">
            <v>178957</v>
          </cell>
        </row>
        <row r="31">
          <cell r="E31">
            <v>6674</v>
          </cell>
        </row>
        <row r="35">
          <cell r="E35">
            <v>9319</v>
          </cell>
        </row>
        <row r="36">
          <cell r="E36">
            <v>234655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13894</v>
          </cell>
        </row>
        <row r="28">
          <cell r="E28">
            <v>59030</v>
          </cell>
        </row>
        <row r="31">
          <cell r="E31">
            <v>1387</v>
          </cell>
        </row>
        <row r="35">
          <cell r="E35">
            <v>2651</v>
          </cell>
        </row>
        <row r="36">
          <cell r="E36">
            <v>76962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8611</v>
          </cell>
        </row>
        <row r="28">
          <cell r="E28">
            <v>28827</v>
          </cell>
        </row>
        <row r="31">
          <cell r="E31">
            <v>881</v>
          </cell>
        </row>
        <row r="35">
          <cell r="E35">
            <v>2779</v>
          </cell>
        </row>
        <row r="36">
          <cell r="E36">
            <v>41098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5507</v>
          </cell>
        </row>
        <row r="28">
          <cell r="E28">
            <v>15885</v>
          </cell>
        </row>
        <row r="31">
          <cell r="E31">
            <v>459</v>
          </cell>
        </row>
        <row r="35">
          <cell r="E35">
            <v>1027</v>
          </cell>
        </row>
        <row r="36">
          <cell r="E36">
            <v>22878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42708</v>
          </cell>
        </row>
        <row r="28">
          <cell r="E28">
            <v>150199</v>
          </cell>
        </row>
        <row r="31">
          <cell r="E31">
            <v>3347</v>
          </cell>
        </row>
        <row r="35">
          <cell r="E35">
            <v>11372</v>
          </cell>
        </row>
        <row r="36">
          <cell r="E36">
            <v>207626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33005</v>
          </cell>
        </row>
        <row r="28">
          <cell r="E28">
            <v>112538</v>
          </cell>
        </row>
        <row r="31">
          <cell r="E31">
            <v>2146</v>
          </cell>
        </row>
        <row r="35">
          <cell r="E35">
            <v>6894</v>
          </cell>
        </row>
        <row r="36">
          <cell r="E36">
            <v>154583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9176</v>
          </cell>
        </row>
        <row r="28">
          <cell r="E28">
            <v>23508</v>
          </cell>
        </row>
        <row r="31">
          <cell r="E31">
            <v>819</v>
          </cell>
        </row>
        <row r="35">
          <cell r="E35">
            <v>2313</v>
          </cell>
        </row>
        <row r="36">
          <cell r="E36">
            <v>35816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9657</v>
          </cell>
        </row>
        <row r="28">
          <cell r="E28">
            <v>34295</v>
          </cell>
        </row>
        <row r="31">
          <cell r="E31">
            <v>1020</v>
          </cell>
        </row>
        <row r="35">
          <cell r="E35">
            <v>1908</v>
          </cell>
        </row>
        <row r="36">
          <cell r="E36">
            <v>46880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35553</v>
          </cell>
        </row>
        <row r="28">
          <cell r="E28">
            <v>129263</v>
          </cell>
        </row>
        <row r="31">
          <cell r="E31">
            <v>2014</v>
          </cell>
        </row>
        <row r="35">
          <cell r="E35">
            <v>5697</v>
          </cell>
        </row>
        <row r="36">
          <cell r="E36">
            <v>172527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4568</v>
          </cell>
        </row>
        <row r="28">
          <cell r="E28">
            <v>14919</v>
          </cell>
        </row>
        <row r="31">
          <cell r="E31">
            <v>367</v>
          </cell>
        </row>
        <row r="35">
          <cell r="E35">
            <v>554</v>
          </cell>
        </row>
        <row r="36">
          <cell r="E36">
            <v>20408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87250</v>
          </cell>
        </row>
        <row r="28">
          <cell r="E28">
            <v>102786</v>
          </cell>
        </row>
        <row r="31">
          <cell r="E31">
            <v>3123</v>
          </cell>
        </row>
        <row r="35">
          <cell r="E35">
            <v>14852</v>
          </cell>
        </row>
        <row r="36">
          <cell r="E36">
            <v>208011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55556</v>
          </cell>
        </row>
        <row r="28">
          <cell r="E28">
            <v>308691</v>
          </cell>
        </row>
        <row r="31">
          <cell r="E31">
            <v>12215</v>
          </cell>
        </row>
        <row r="35">
          <cell r="E35">
            <v>9231</v>
          </cell>
        </row>
        <row r="36">
          <cell r="E36">
            <v>385693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3071</v>
          </cell>
        </row>
        <row r="28">
          <cell r="E28">
            <v>7585</v>
          </cell>
        </row>
        <row r="31">
          <cell r="E31">
            <v>246</v>
          </cell>
        </row>
        <row r="35">
          <cell r="E35">
            <v>554</v>
          </cell>
        </row>
        <row r="36">
          <cell r="E36">
            <v>11456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23863</v>
          </cell>
        </row>
        <row r="28">
          <cell r="E28">
            <v>112646</v>
          </cell>
        </row>
        <row r="31">
          <cell r="E31">
            <v>1014</v>
          </cell>
        </row>
        <row r="35">
          <cell r="E35">
            <v>2867</v>
          </cell>
        </row>
        <row r="36">
          <cell r="E36">
            <v>140390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2212</v>
          </cell>
        </row>
        <row r="28">
          <cell r="E28">
            <v>9058</v>
          </cell>
        </row>
        <row r="31">
          <cell r="E31">
            <v>193</v>
          </cell>
        </row>
        <row r="35">
          <cell r="E35">
            <v>401</v>
          </cell>
        </row>
        <row r="36">
          <cell r="E36">
            <v>11864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14032</v>
          </cell>
        </row>
        <row r="28">
          <cell r="E28">
            <v>55675</v>
          </cell>
        </row>
        <row r="31">
          <cell r="E31">
            <v>1232</v>
          </cell>
        </row>
        <row r="35">
          <cell r="E35">
            <v>2454</v>
          </cell>
        </row>
        <row r="36">
          <cell r="E36">
            <v>73393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84903</v>
          </cell>
        </row>
        <row r="28">
          <cell r="E28">
            <v>386086</v>
          </cell>
        </row>
        <row r="31">
          <cell r="E31">
            <v>8180</v>
          </cell>
        </row>
        <row r="35">
          <cell r="E35">
            <v>16428</v>
          </cell>
        </row>
        <row r="36">
          <cell r="E36">
            <v>495597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16774</v>
          </cell>
        </row>
        <row r="28">
          <cell r="E28">
            <v>50003</v>
          </cell>
        </row>
        <row r="31">
          <cell r="E31">
            <v>1757</v>
          </cell>
        </row>
        <row r="35">
          <cell r="E35">
            <v>3227</v>
          </cell>
        </row>
        <row r="36">
          <cell r="E36">
            <v>71761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5367</v>
          </cell>
        </row>
        <row r="28">
          <cell r="E28">
            <v>13424</v>
          </cell>
        </row>
        <row r="31">
          <cell r="E31">
            <v>330</v>
          </cell>
        </row>
        <row r="35">
          <cell r="E35">
            <v>904</v>
          </cell>
        </row>
        <row r="36">
          <cell r="E36">
            <v>20025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28085</v>
          </cell>
        </row>
        <row r="28">
          <cell r="E28">
            <v>106843</v>
          </cell>
        </row>
        <row r="31">
          <cell r="E31">
            <v>3030</v>
          </cell>
        </row>
        <row r="35">
          <cell r="E35">
            <v>4755</v>
          </cell>
        </row>
        <row r="36">
          <cell r="E36">
            <v>142713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1991</v>
          </cell>
        </row>
        <row r="40">
          <cell r="E40">
            <v>16914</v>
          </cell>
        </row>
        <row r="47">
          <cell r="E47">
            <v>543</v>
          </cell>
        </row>
        <row r="54">
          <cell r="E54">
            <v>504</v>
          </cell>
        </row>
        <row r="61">
          <cell r="E61">
            <v>19952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356576</v>
          </cell>
        </row>
        <row r="28">
          <cell r="E28">
            <v>367569</v>
          </cell>
        </row>
        <row r="31">
          <cell r="E31">
            <v>10535</v>
          </cell>
        </row>
        <row r="35">
          <cell r="E35">
            <v>47278</v>
          </cell>
        </row>
        <row r="36">
          <cell r="E36">
            <v>781958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53670</v>
          </cell>
        </row>
        <row r="28">
          <cell r="E28">
            <v>48699</v>
          </cell>
        </row>
        <row r="31">
          <cell r="E31">
            <v>2158</v>
          </cell>
        </row>
        <row r="35">
          <cell r="E35">
            <v>9493</v>
          </cell>
        </row>
        <row r="36">
          <cell r="E36">
            <v>114020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2549</v>
          </cell>
        </row>
        <row r="40">
          <cell r="E40">
            <v>12886</v>
          </cell>
        </row>
        <row r="47">
          <cell r="E47">
            <v>2089</v>
          </cell>
        </row>
        <row r="54">
          <cell r="E54">
            <v>612</v>
          </cell>
        </row>
        <row r="61">
          <cell r="E61">
            <v>18136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1374729</v>
          </cell>
        </row>
        <row r="39">
          <cell r="E39">
            <v>6099101</v>
          </cell>
        </row>
        <row r="46">
          <cell r="E46">
            <v>251034</v>
          </cell>
        </row>
        <row r="53">
          <cell r="E53">
            <v>343347</v>
          </cell>
        </row>
        <row r="60">
          <cell r="E60">
            <v>8068912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9309</v>
          </cell>
        </row>
        <row r="28">
          <cell r="E28">
            <v>34428</v>
          </cell>
        </row>
        <row r="31">
          <cell r="E31">
            <v>847</v>
          </cell>
        </row>
        <row r="35">
          <cell r="E35">
            <v>2030</v>
          </cell>
        </row>
        <row r="36">
          <cell r="E36">
            <v>46614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54938</v>
          </cell>
        </row>
        <row r="28">
          <cell r="E28">
            <v>284945</v>
          </cell>
        </row>
        <row r="31">
          <cell r="E31">
            <v>3092</v>
          </cell>
        </row>
        <row r="35">
          <cell r="E35">
            <v>9938</v>
          </cell>
        </row>
        <row r="36">
          <cell r="E36">
            <v>352913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16077</v>
          </cell>
        </row>
        <row r="28">
          <cell r="E28">
            <v>97303</v>
          </cell>
        </row>
        <row r="31">
          <cell r="E31">
            <v>1516</v>
          </cell>
        </row>
        <row r="35">
          <cell r="E35">
            <v>3396</v>
          </cell>
        </row>
        <row r="36">
          <cell r="E36">
            <v>118292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8674</v>
          </cell>
        </row>
        <row r="28">
          <cell r="E28">
            <v>24307</v>
          </cell>
        </row>
        <row r="31">
          <cell r="E31">
            <v>1366</v>
          </cell>
        </row>
        <row r="35">
          <cell r="E35">
            <v>2177</v>
          </cell>
        </row>
        <row r="36">
          <cell r="E36">
            <v>36524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37157</v>
          </cell>
        </row>
        <row r="28">
          <cell r="E28">
            <v>92345</v>
          </cell>
        </row>
        <row r="31">
          <cell r="E31">
            <v>2895</v>
          </cell>
        </row>
        <row r="35">
          <cell r="E35">
            <v>11555</v>
          </cell>
        </row>
        <row r="36">
          <cell r="E36">
            <v>143952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3778</v>
          </cell>
        </row>
        <row r="28">
          <cell r="E28">
            <v>15066</v>
          </cell>
        </row>
        <row r="31">
          <cell r="E31">
            <v>269</v>
          </cell>
        </row>
        <row r="35">
          <cell r="E35">
            <v>410</v>
          </cell>
        </row>
        <row r="36">
          <cell r="E36">
            <v>19523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16496</v>
          </cell>
        </row>
        <row r="28">
          <cell r="E28">
            <v>66258</v>
          </cell>
        </row>
        <row r="31">
          <cell r="E31">
            <v>1630</v>
          </cell>
        </row>
        <row r="35">
          <cell r="E35">
            <v>2617</v>
          </cell>
        </row>
        <row r="36">
          <cell r="E36">
            <v>87001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34272</v>
          </cell>
        </row>
        <row r="28">
          <cell r="E28">
            <v>155881</v>
          </cell>
        </row>
        <row r="31">
          <cell r="E31">
            <v>1794</v>
          </cell>
        </row>
        <row r="35">
          <cell r="E35">
            <v>3960</v>
          </cell>
        </row>
        <row r="36">
          <cell r="E36">
            <v>195907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13371</v>
          </cell>
        </row>
        <row r="28">
          <cell r="E28">
            <v>13169</v>
          </cell>
        </row>
        <row r="31">
          <cell r="E31">
            <v>830</v>
          </cell>
        </row>
        <row r="35">
          <cell r="E35">
            <v>2219</v>
          </cell>
        </row>
        <row r="36">
          <cell r="E36">
            <v>29589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158973</v>
          </cell>
        </row>
        <row r="28">
          <cell r="E28">
            <v>640678</v>
          </cell>
        </row>
        <row r="31">
          <cell r="E31">
            <v>9685</v>
          </cell>
        </row>
        <row r="35">
          <cell r="E35">
            <v>35376</v>
          </cell>
        </row>
        <row r="36">
          <cell r="E36">
            <v>844712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31322</v>
          </cell>
        </row>
        <row r="28">
          <cell r="E28">
            <v>98200</v>
          </cell>
        </row>
        <row r="31">
          <cell r="E31">
            <v>2574</v>
          </cell>
        </row>
        <row r="35">
          <cell r="E35">
            <v>7526</v>
          </cell>
        </row>
        <row r="36">
          <cell r="E36">
            <v>139622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10447</v>
          </cell>
        </row>
        <row r="28">
          <cell r="E28">
            <v>35054</v>
          </cell>
        </row>
        <row r="31">
          <cell r="E31">
            <v>919</v>
          </cell>
        </row>
        <row r="35">
          <cell r="E35">
            <v>2895</v>
          </cell>
        </row>
        <row r="36">
          <cell r="E36">
            <v>49315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8711</v>
          </cell>
        </row>
        <row r="28">
          <cell r="E28">
            <v>32418</v>
          </cell>
        </row>
        <row r="31">
          <cell r="E31">
            <v>848</v>
          </cell>
        </row>
        <row r="35">
          <cell r="E35">
            <v>2070</v>
          </cell>
        </row>
        <row r="36">
          <cell r="E36">
            <v>44047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32309</v>
          </cell>
        </row>
        <row r="28">
          <cell r="E28">
            <v>159621</v>
          </cell>
        </row>
        <row r="31">
          <cell r="E31">
            <v>3689</v>
          </cell>
        </row>
        <row r="35">
          <cell r="E35">
            <v>5912</v>
          </cell>
        </row>
        <row r="36">
          <cell r="E36">
            <v>201531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19495</v>
          </cell>
        </row>
        <row r="28">
          <cell r="E28">
            <v>59376</v>
          </cell>
        </row>
        <row r="31">
          <cell r="E31">
            <v>1672</v>
          </cell>
        </row>
        <row r="35">
          <cell r="E35">
            <v>4029</v>
          </cell>
        </row>
        <row r="36">
          <cell r="E36">
            <v>84572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15938</v>
          </cell>
        </row>
        <row r="28">
          <cell r="E28">
            <v>71908</v>
          </cell>
        </row>
        <row r="31">
          <cell r="E31">
            <v>1029</v>
          </cell>
        </row>
        <row r="35">
          <cell r="E35">
            <v>2692</v>
          </cell>
        </row>
        <row r="36">
          <cell r="E36">
            <v>91567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11161</v>
          </cell>
        </row>
        <row r="28">
          <cell r="E28">
            <v>50657</v>
          </cell>
        </row>
        <row r="31">
          <cell r="E31">
            <v>816</v>
          </cell>
        </row>
        <row r="35">
          <cell r="E35">
            <v>2224</v>
          </cell>
        </row>
        <row r="36">
          <cell r="E36">
            <v>64858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18838</v>
          </cell>
        </row>
        <row r="28">
          <cell r="E28">
            <v>97988</v>
          </cell>
        </row>
        <row r="31">
          <cell r="E31">
            <v>2645</v>
          </cell>
        </row>
        <row r="35">
          <cell r="E35">
            <v>4024</v>
          </cell>
        </row>
        <row r="36">
          <cell r="E36">
            <v>123495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32467</v>
          </cell>
        </row>
        <row r="28">
          <cell r="E28">
            <v>98979</v>
          </cell>
        </row>
        <row r="31">
          <cell r="E31">
            <v>3056</v>
          </cell>
        </row>
        <row r="35">
          <cell r="E35">
            <v>7157</v>
          </cell>
        </row>
        <row r="36">
          <cell r="E36">
            <v>141659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15251</v>
          </cell>
        </row>
        <row r="28">
          <cell r="E28">
            <v>12926</v>
          </cell>
        </row>
        <row r="31">
          <cell r="E31">
            <v>794</v>
          </cell>
        </row>
        <row r="35">
          <cell r="E35">
            <v>2186</v>
          </cell>
        </row>
        <row r="36">
          <cell r="E36">
            <v>31157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3821</v>
          </cell>
        </row>
        <row r="28">
          <cell r="E28">
            <v>17964</v>
          </cell>
        </row>
        <row r="31">
          <cell r="E31">
            <v>443</v>
          </cell>
        </row>
        <row r="35">
          <cell r="E35">
            <v>1002</v>
          </cell>
        </row>
        <row r="36">
          <cell r="E36">
            <v>23230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15257</v>
          </cell>
        </row>
        <row r="28">
          <cell r="E28">
            <v>50868</v>
          </cell>
        </row>
        <row r="31">
          <cell r="E31">
            <v>1283</v>
          </cell>
        </row>
        <row r="35">
          <cell r="E35">
            <v>3518</v>
          </cell>
        </row>
        <row r="36">
          <cell r="E36">
            <v>70926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18612</v>
          </cell>
        </row>
        <row r="28">
          <cell r="E28">
            <v>86161</v>
          </cell>
        </row>
        <row r="31">
          <cell r="E31">
            <v>1408</v>
          </cell>
        </row>
        <row r="35">
          <cell r="E35">
            <v>2631</v>
          </cell>
        </row>
        <row r="36">
          <cell r="E36">
            <v>108812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25671</v>
          </cell>
        </row>
        <row r="28">
          <cell r="E28">
            <v>162336</v>
          </cell>
        </row>
        <row r="31">
          <cell r="E31">
            <v>2594</v>
          </cell>
        </row>
        <row r="35">
          <cell r="E35">
            <v>6628</v>
          </cell>
        </row>
        <row r="36">
          <cell r="E36">
            <v>197229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4894</v>
          </cell>
        </row>
        <row r="28">
          <cell r="E28">
            <v>19982</v>
          </cell>
        </row>
        <row r="31">
          <cell r="E31">
            <v>492</v>
          </cell>
        </row>
        <row r="35">
          <cell r="E35">
            <v>1242</v>
          </cell>
        </row>
        <row r="36">
          <cell r="E36">
            <v>26610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12865</v>
          </cell>
        </row>
        <row r="28">
          <cell r="E28">
            <v>63413</v>
          </cell>
        </row>
        <row r="31">
          <cell r="E31">
            <v>1249</v>
          </cell>
        </row>
        <row r="35">
          <cell r="E35">
            <v>2241</v>
          </cell>
        </row>
        <row r="36">
          <cell r="E36">
            <v>79768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5044</v>
          </cell>
        </row>
        <row r="28">
          <cell r="E28">
            <v>16559</v>
          </cell>
        </row>
        <row r="31">
          <cell r="E31">
            <v>407</v>
          </cell>
        </row>
        <row r="35">
          <cell r="E35">
            <v>711</v>
          </cell>
        </row>
        <row r="36">
          <cell r="E36">
            <v>22721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16050</v>
          </cell>
        </row>
        <row r="28">
          <cell r="E28">
            <v>54856</v>
          </cell>
        </row>
        <row r="31">
          <cell r="E31">
            <v>1334</v>
          </cell>
        </row>
        <row r="35">
          <cell r="E35">
            <v>2638</v>
          </cell>
        </row>
        <row r="36">
          <cell r="E36">
            <v>74878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15369</v>
          </cell>
        </row>
        <row r="28">
          <cell r="E28">
            <v>47878</v>
          </cell>
        </row>
        <row r="31">
          <cell r="E31">
            <v>1064</v>
          </cell>
        </row>
        <row r="35">
          <cell r="E35">
            <v>4120</v>
          </cell>
        </row>
        <row r="36">
          <cell r="E36">
            <v>68431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11072</v>
          </cell>
        </row>
        <row r="28">
          <cell r="E28">
            <v>37188</v>
          </cell>
        </row>
        <row r="31">
          <cell r="E31">
            <v>868</v>
          </cell>
        </row>
        <row r="35">
          <cell r="E35">
            <v>1141</v>
          </cell>
        </row>
        <row r="36">
          <cell r="E36">
            <v>50269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64735</v>
          </cell>
        </row>
        <row r="28">
          <cell r="E28">
            <v>71958</v>
          </cell>
        </row>
        <row r="31">
          <cell r="E31">
            <v>4357</v>
          </cell>
        </row>
        <row r="35">
          <cell r="E35">
            <v>8532</v>
          </cell>
        </row>
        <row r="36">
          <cell r="E36">
            <v>149582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10150</v>
          </cell>
        </row>
        <row r="28">
          <cell r="E28">
            <v>24296</v>
          </cell>
        </row>
        <row r="31">
          <cell r="E31">
            <v>664</v>
          </cell>
        </row>
        <row r="35">
          <cell r="E35">
            <v>2462</v>
          </cell>
        </row>
        <row r="36">
          <cell r="E36">
            <v>37572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179801</v>
          </cell>
        </row>
        <row r="28">
          <cell r="E28">
            <v>897899</v>
          </cell>
        </row>
        <row r="31">
          <cell r="E31">
            <v>23931</v>
          </cell>
        </row>
        <row r="35">
          <cell r="E35">
            <v>36597</v>
          </cell>
        </row>
        <row r="36">
          <cell r="E36">
            <v>1138228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50461</v>
          </cell>
        </row>
        <row r="28">
          <cell r="E28">
            <v>341819</v>
          </cell>
        </row>
        <row r="31">
          <cell r="E31">
            <v>5026</v>
          </cell>
        </row>
        <row r="35">
          <cell r="E35">
            <v>13431</v>
          </cell>
        </row>
        <row r="36">
          <cell r="E36">
            <v>410737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38214</v>
          </cell>
        </row>
        <row r="28">
          <cell r="E28">
            <v>164175</v>
          </cell>
        </row>
        <row r="31">
          <cell r="E31">
            <v>5818</v>
          </cell>
        </row>
        <row r="35">
          <cell r="E35">
            <v>8821</v>
          </cell>
        </row>
        <row r="36">
          <cell r="E36">
            <v>217028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12895</v>
          </cell>
        </row>
        <row r="28">
          <cell r="E28">
            <v>56906</v>
          </cell>
        </row>
        <row r="31">
          <cell r="E31">
            <v>1606</v>
          </cell>
        </row>
        <row r="35">
          <cell r="E35">
            <v>2518</v>
          </cell>
        </row>
        <row r="36">
          <cell r="E36">
            <v>73925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8644</v>
          </cell>
        </row>
        <row r="28">
          <cell r="E28">
            <v>28075</v>
          </cell>
        </row>
        <row r="31">
          <cell r="E31">
            <v>727</v>
          </cell>
        </row>
        <row r="35">
          <cell r="E35">
            <v>2965</v>
          </cell>
        </row>
        <row r="36">
          <cell r="E36">
            <v>40411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5381</v>
          </cell>
        </row>
        <row r="28">
          <cell r="E28">
            <v>16115</v>
          </cell>
        </row>
        <row r="31">
          <cell r="E31">
            <v>344</v>
          </cell>
        </row>
        <row r="35">
          <cell r="E35">
            <v>1077</v>
          </cell>
        </row>
        <row r="36">
          <cell r="E36">
            <v>22917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41448</v>
          </cell>
        </row>
        <row r="28">
          <cell r="E28">
            <v>141977</v>
          </cell>
        </row>
        <row r="31">
          <cell r="E31">
            <v>2708</v>
          </cell>
        </row>
        <row r="35">
          <cell r="E35">
            <v>11795</v>
          </cell>
        </row>
        <row r="36">
          <cell r="E36">
            <v>197928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31591</v>
          </cell>
        </row>
        <row r="28">
          <cell r="E28">
            <v>117556</v>
          </cell>
        </row>
        <row r="31">
          <cell r="E31">
            <v>1945</v>
          </cell>
        </row>
        <row r="35">
          <cell r="E35">
            <v>7213</v>
          </cell>
        </row>
        <row r="36">
          <cell r="E36">
            <v>158305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8850</v>
          </cell>
        </row>
        <row r="28">
          <cell r="E28">
            <v>23601</v>
          </cell>
        </row>
        <row r="31">
          <cell r="E31">
            <v>1077</v>
          </cell>
        </row>
        <row r="35">
          <cell r="E35">
            <v>2077</v>
          </cell>
        </row>
        <row r="36">
          <cell r="E36">
            <v>35605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6051</v>
          </cell>
        </row>
        <row r="28">
          <cell r="E28">
            <v>8366</v>
          </cell>
        </row>
        <row r="31">
          <cell r="E31">
            <v>326</v>
          </cell>
        </row>
        <row r="35">
          <cell r="E35">
            <v>1165</v>
          </cell>
        </row>
        <row r="36">
          <cell r="E36">
            <v>15908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8974</v>
          </cell>
        </row>
        <row r="28">
          <cell r="E28">
            <v>30827</v>
          </cell>
        </row>
        <row r="31">
          <cell r="E31">
            <v>1178</v>
          </cell>
        </row>
        <row r="35">
          <cell r="E35">
            <v>1951</v>
          </cell>
        </row>
        <row r="36">
          <cell r="E36">
            <v>42930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31154</v>
          </cell>
        </row>
        <row r="28">
          <cell r="E28">
            <v>127560</v>
          </cell>
        </row>
        <row r="31">
          <cell r="E31">
            <v>1934</v>
          </cell>
        </row>
        <row r="35">
          <cell r="E35">
            <v>5503</v>
          </cell>
        </row>
        <row r="36">
          <cell r="E36">
            <v>166151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4090</v>
          </cell>
        </row>
        <row r="28">
          <cell r="E28">
            <v>14489</v>
          </cell>
        </row>
        <row r="31">
          <cell r="E31">
            <v>296</v>
          </cell>
        </row>
        <row r="35">
          <cell r="E35">
            <v>668</v>
          </cell>
        </row>
        <row r="36">
          <cell r="E36">
            <v>19543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49488</v>
          </cell>
        </row>
        <row r="28">
          <cell r="E28">
            <v>296425</v>
          </cell>
        </row>
        <row r="31">
          <cell r="E31">
            <v>6183</v>
          </cell>
        </row>
        <row r="35">
          <cell r="E35">
            <v>9762</v>
          </cell>
        </row>
        <row r="36">
          <cell r="E36">
            <v>361858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2909</v>
          </cell>
        </row>
        <row r="28">
          <cell r="E28">
            <v>6806</v>
          </cell>
        </row>
        <row r="31">
          <cell r="E31">
            <v>270</v>
          </cell>
        </row>
        <row r="35">
          <cell r="E35">
            <v>656</v>
          </cell>
        </row>
        <row r="36">
          <cell r="E36">
            <v>10641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21648</v>
          </cell>
        </row>
        <row r="28">
          <cell r="E28">
            <v>111024</v>
          </cell>
        </row>
        <row r="31">
          <cell r="E31">
            <v>917</v>
          </cell>
        </row>
        <row r="35">
          <cell r="E35">
            <v>2801</v>
          </cell>
        </row>
        <row r="36">
          <cell r="E36">
            <v>136390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2159</v>
          </cell>
        </row>
        <row r="28">
          <cell r="E28">
            <v>8967</v>
          </cell>
        </row>
        <row r="31">
          <cell r="E31">
            <v>232</v>
          </cell>
        </row>
        <row r="35">
          <cell r="E35">
            <v>357</v>
          </cell>
        </row>
        <row r="36">
          <cell r="E36">
            <v>11715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13017</v>
          </cell>
        </row>
        <row r="28">
          <cell r="E28">
            <v>48033</v>
          </cell>
        </row>
        <row r="31">
          <cell r="E31">
            <v>1051</v>
          </cell>
        </row>
        <row r="35">
          <cell r="E35">
            <v>2401</v>
          </cell>
        </row>
        <row r="36">
          <cell r="E36">
            <v>64502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79992</v>
          </cell>
        </row>
        <row r="28">
          <cell r="E28">
            <v>375398</v>
          </cell>
        </row>
        <row r="31">
          <cell r="E31">
            <v>5989</v>
          </cell>
        </row>
        <row r="35">
          <cell r="E35">
            <v>16502</v>
          </cell>
        </row>
        <row r="36">
          <cell r="E36">
            <v>477881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15258</v>
          </cell>
        </row>
        <row r="28">
          <cell r="E28">
            <v>48673</v>
          </cell>
        </row>
        <row r="31">
          <cell r="E31">
            <v>1107</v>
          </cell>
        </row>
        <row r="35">
          <cell r="E35">
            <v>4434</v>
          </cell>
        </row>
        <row r="36">
          <cell r="E36">
            <v>69472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99612</v>
          </cell>
        </row>
        <row r="28">
          <cell r="E28">
            <v>133055</v>
          </cell>
        </row>
        <row r="31">
          <cell r="E31">
            <v>5405</v>
          </cell>
        </row>
        <row r="35">
          <cell r="E35">
            <v>14707</v>
          </cell>
        </row>
        <row r="36">
          <cell r="E36">
            <v>252779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4966</v>
          </cell>
        </row>
        <row r="28">
          <cell r="E28">
            <v>13591</v>
          </cell>
        </row>
        <row r="31">
          <cell r="E31">
            <v>589</v>
          </cell>
        </row>
        <row r="35">
          <cell r="E35">
            <v>1272</v>
          </cell>
        </row>
        <row r="36">
          <cell r="E36">
            <v>20418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26417</v>
          </cell>
        </row>
        <row r="28">
          <cell r="E28">
            <v>93007</v>
          </cell>
        </row>
        <row r="31">
          <cell r="E31">
            <v>2056</v>
          </cell>
        </row>
        <row r="35">
          <cell r="E35">
            <v>5097</v>
          </cell>
        </row>
        <row r="36">
          <cell r="E36">
            <v>126577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1964</v>
          </cell>
        </row>
        <row r="40">
          <cell r="E40">
            <v>17171</v>
          </cell>
        </row>
        <row r="47">
          <cell r="E47">
            <v>626</v>
          </cell>
        </row>
        <row r="54">
          <cell r="E54">
            <v>480</v>
          </cell>
        </row>
        <row r="61">
          <cell r="E61">
            <v>20241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1">
          <cell r="E21">
            <v>2664</v>
          </cell>
        </row>
        <row r="40">
          <cell r="E40">
            <v>15011</v>
          </cell>
        </row>
        <row r="47">
          <cell r="E47">
            <v>1419</v>
          </cell>
        </row>
        <row r="54">
          <cell r="E54">
            <v>604</v>
          </cell>
        </row>
        <row r="61">
          <cell r="E61">
            <v>19698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20">
          <cell r="E20">
            <v>1301678</v>
          </cell>
        </row>
        <row r="39">
          <cell r="E39">
            <v>5859047</v>
          </cell>
        </row>
        <row r="46">
          <cell r="E46">
            <v>219296</v>
          </cell>
        </row>
        <row r="53">
          <cell r="E53">
            <v>342779</v>
          </cell>
        </row>
        <row r="60">
          <cell r="E60">
            <v>7723132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8761</v>
          </cell>
        </row>
        <row r="28">
          <cell r="E28">
            <v>31079</v>
          </cell>
        </row>
        <row r="31">
          <cell r="E31">
            <v>1029</v>
          </cell>
        </row>
        <row r="35">
          <cell r="E35">
            <v>2024</v>
          </cell>
        </row>
        <row r="36">
          <cell r="E36">
            <v>42893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48718</v>
          </cell>
        </row>
        <row r="28">
          <cell r="E28">
            <v>288409</v>
          </cell>
        </row>
        <row r="31">
          <cell r="E31">
            <v>3071</v>
          </cell>
        </row>
        <row r="35">
          <cell r="E35">
            <v>9849</v>
          </cell>
        </row>
        <row r="36">
          <cell r="E36">
            <v>350047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14863</v>
          </cell>
        </row>
        <row r="28">
          <cell r="E28">
            <v>88184</v>
          </cell>
        </row>
        <row r="31">
          <cell r="E31">
            <v>1411</v>
          </cell>
        </row>
        <row r="35">
          <cell r="E35">
            <v>3417</v>
          </cell>
        </row>
        <row r="36">
          <cell r="E36">
            <v>107875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7968</v>
          </cell>
        </row>
        <row r="28">
          <cell r="E28">
            <v>24529</v>
          </cell>
        </row>
        <row r="31">
          <cell r="E31">
            <v>1025</v>
          </cell>
        </row>
        <row r="35">
          <cell r="E35">
            <v>1964</v>
          </cell>
        </row>
        <row r="36">
          <cell r="E36">
            <v>35486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33074</v>
          </cell>
        </row>
        <row r="28">
          <cell r="E28">
            <v>88501</v>
          </cell>
        </row>
        <row r="31">
          <cell r="E31">
            <v>2370</v>
          </cell>
        </row>
        <row r="35">
          <cell r="E35">
            <v>12388</v>
          </cell>
        </row>
        <row r="36">
          <cell r="E36">
            <v>136333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4318</v>
          </cell>
        </row>
        <row r="28">
          <cell r="E28">
            <v>4852</v>
          </cell>
        </row>
        <row r="31">
          <cell r="E31">
            <v>227</v>
          </cell>
        </row>
        <row r="35">
          <cell r="E35">
            <v>471</v>
          </cell>
        </row>
        <row r="36">
          <cell r="E36">
            <v>9868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3622</v>
          </cell>
        </row>
        <row r="28">
          <cell r="E28">
            <v>13956</v>
          </cell>
        </row>
        <row r="31">
          <cell r="E31">
            <v>269</v>
          </cell>
        </row>
        <row r="35">
          <cell r="E35">
            <v>298</v>
          </cell>
        </row>
        <row r="36">
          <cell r="E36">
            <v>18145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14991</v>
          </cell>
        </row>
        <row r="28">
          <cell r="E28">
            <v>64926</v>
          </cell>
        </row>
        <row r="31">
          <cell r="E31">
            <v>1205</v>
          </cell>
        </row>
        <row r="35">
          <cell r="E35">
            <v>2950</v>
          </cell>
        </row>
        <row r="36">
          <cell r="E36">
            <v>84072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33670</v>
          </cell>
        </row>
        <row r="28">
          <cell r="E28">
            <v>150660</v>
          </cell>
        </row>
        <row r="31">
          <cell r="E31">
            <v>1271</v>
          </cell>
        </row>
        <row r="35">
          <cell r="E35">
            <v>4194</v>
          </cell>
        </row>
        <row r="36">
          <cell r="E36">
            <v>189795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148080</v>
          </cell>
        </row>
        <row r="28">
          <cell r="E28">
            <v>615107</v>
          </cell>
        </row>
        <row r="31">
          <cell r="E31">
            <v>9212</v>
          </cell>
        </row>
        <row r="35">
          <cell r="E35">
            <v>36299</v>
          </cell>
        </row>
        <row r="36">
          <cell r="E36">
            <v>808698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28171</v>
          </cell>
        </row>
        <row r="28">
          <cell r="E28">
            <v>96805</v>
          </cell>
        </row>
        <row r="31">
          <cell r="E31">
            <v>2155</v>
          </cell>
        </row>
        <row r="35">
          <cell r="E35">
            <v>8509</v>
          </cell>
        </row>
        <row r="36">
          <cell r="E36">
            <v>135640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10249</v>
          </cell>
        </row>
        <row r="28">
          <cell r="E28">
            <v>34177</v>
          </cell>
        </row>
        <row r="31">
          <cell r="E31">
            <v>765</v>
          </cell>
        </row>
        <row r="35">
          <cell r="E35">
            <v>2612</v>
          </cell>
        </row>
        <row r="36">
          <cell r="E36">
            <v>47803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8422</v>
          </cell>
        </row>
        <row r="28">
          <cell r="E28">
            <v>29349</v>
          </cell>
        </row>
        <row r="31">
          <cell r="E31">
            <v>766</v>
          </cell>
        </row>
        <row r="35">
          <cell r="E35">
            <v>2160</v>
          </cell>
        </row>
        <row r="36">
          <cell r="E36">
            <v>40697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30288</v>
          </cell>
        </row>
        <row r="28">
          <cell r="E28">
            <v>153686</v>
          </cell>
        </row>
        <row r="31">
          <cell r="E31">
            <v>3073</v>
          </cell>
        </row>
        <row r="35">
          <cell r="E35">
            <v>5787</v>
          </cell>
        </row>
        <row r="36">
          <cell r="E36">
            <v>192834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18354</v>
          </cell>
        </row>
        <row r="28">
          <cell r="E28">
            <v>57351</v>
          </cell>
        </row>
        <row r="31">
          <cell r="E31">
            <v>1432</v>
          </cell>
        </row>
        <row r="35">
          <cell r="E35">
            <v>4162</v>
          </cell>
        </row>
        <row r="36">
          <cell r="E36">
            <v>81299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13863</v>
          </cell>
        </row>
        <row r="28">
          <cell r="E28">
            <v>68104</v>
          </cell>
        </row>
        <row r="31">
          <cell r="E31">
            <v>831</v>
          </cell>
        </row>
        <row r="35">
          <cell r="E35">
            <v>2638</v>
          </cell>
        </row>
        <row r="36">
          <cell r="E36">
            <v>85436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43762</v>
          </cell>
        </row>
        <row r="28">
          <cell r="E28">
            <v>67788</v>
          </cell>
        </row>
        <row r="31">
          <cell r="E31">
            <v>1078</v>
          </cell>
        </row>
        <row r="35">
          <cell r="E35">
            <v>5270</v>
          </cell>
        </row>
        <row r="36">
          <cell r="E36">
            <v>117898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10143</v>
          </cell>
        </row>
        <row r="28">
          <cell r="E28">
            <v>48760</v>
          </cell>
        </row>
        <row r="31">
          <cell r="E31">
            <v>713</v>
          </cell>
        </row>
        <row r="35">
          <cell r="E35">
            <v>2564</v>
          </cell>
        </row>
        <row r="36">
          <cell r="E36">
            <v>62180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17218</v>
          </cell>
        </row>
        <row r="28">
          <cell r="E28">
            <v>90406</v>
          </cell>
        </row>
        <row r="31">
          <cell r="E31">
            <v>2444</v>
          </cell>
        </row>
        <row r="35">
          <cell r="E35">
            <v>4452</v>
          </cell>
        </row>
        <row r="36">
          <cell r="E36">
            <v>114520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28698</v>
          </cell>
        </row>
        <row r="28">
          <cell r="E28">
            <v>94868</v>
          </cell>
        </row>
        <row r="31">
          <cell r="E31">
            <v>3121</v>
          </cell>
        </row>
        <row r="35">
          <cell r="E35">
            <v>7467</v>
          </cell>
        </row>
        <row r="36">
          <cell r="E36">
            <v>134154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3431</v>
          </cell>
        </row>
        <row r="28">
          <cell r="E28">
            <v>17446</v>
          </cell>
        </row>
        <row r="31">
          <cell r="E31">
            <v>381</v>
          </cell>
        </row>
        <row r="35">
          <cell r="E35">
            <v>893</v>
          </cell>
        </row>
        <row r="36">
          <cell r="E36">
            <v>22151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14100</v>
          </cell>
        </row>
        <row r="28">
          <cell r="E28">
            <v>51163</v>
          </cell>
        </row>
        <row r="31">
          <cell r="E31">
            <v>1035</v>
          </cell>
        </row>
        <row r="35">
          <cell r="E35">
            <v>3732</v>
          </cell>
        </row>
        <row r="36">
          <cell r="E36">
            <v>70030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17415</v>
          </cell>
        </row>
        <row r="28">
          <cell r="E28">
            <v>84947</v>
          </cell>
        </row>
        <row r="31">
          <cell r="E31">
            <v>1317</v>
          </cell>
        </row>
        <row r="35">
          <cell r="E35">
            <v>2474</v>
          </cell>
        </row>
        <row r="36">
          <cell r="E36">
            <v>106153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26649</v>
          </cell>
        </row>
        <row r="28">
          <cell r="E28">
            <v>139334</v>
          </cell>
        </row>
        <row r="31">
          <cell r="E31">
            <v>1834</v>
          </cell>
        </row>
        <row r="35">
          <cell r="E35">
            <v>6020</v>
          </cell>
        </row>
        <row r="36">
          <cell r="E36">
            <v>173837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4830</v>
          </cell>
        </row>
        <row r="28">
          <cell r="E28">
            <v>18137</v>
          </cell>
        </row>
        <row r="31">
          <cell r="E31">
            <v>470</v>
          </cell>
        </row>
        <row r="35">
          <cell r="E35">
            <v>1336</v>
          </cell>
        </row>
        <row r="36">
          <cell r="E36">
            <v>24773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12142</v>
          </cell>
        </row>
        <row r="28">
          <cell r="E28">
            <v>62177</v>
          </cell>
        </row>
        <row r="31">
          <cell r="E31">
            <v>1042</v>
          </cell>
        </row>
        <row r="35">
          <cell r="E35">
            <v>3194</v>
          </cell>
        </row>
        <row r="36">
          <cell r="E36">
            <v>78555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4486</v>
          </cell>
        </row>
        <row r="28">
          <cell r="E28">
            <v>16217</v>
          </cell>
        </row>
        <row r="31">
          <cell r="E31">
            <v>378</v>
          </cell>
        </row>
        <row r="35">
          <cell r="E35">
            <v>706</v>
          </cell>
        </row>
        <row r="36">
          <cell r="E36">
            <v>21787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4096</v>
          </cell>
        </row>
        <row r="28">
          <cell r="E28">
            <v>6029</v>
          </cell>
        </row>
        <row r="31">
          <cell r="E31">
            <v>193</v>
          </cell>
        </row>
        <row r="35">
          <cell r="E35">
            <v>403</v>
          </cell>
        </row>
        <row r="36">
          <cell r="E36">
            <v>10721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14547</v>
          </cell>
        </row>
        <row r="28">
          <cell r="E28">
            <v>53164</v>
          </cell>
        </row>
        <row r="31">
          <cell r="E31">
            <v>1185</v>
          </cell>
        </row>
        <row r="35">
          <cell r="E35">
            <v>3043</v>
          </cell>
        </row>
        <row r="36">
          <cell r="E36">
            <v>71939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14685</v>
          </cell>
        </row>
        <row r="28">
          <cell r="E28">
            <v>44492</v>
          </cell>
        </row>
        <row r="31">
          <cell r="E31">
            <v>938</v>
          </cell>
        </row>
        <row r="35">
          <cell r="E35">
            <v>4292</v>
          </cell>
        </row>
        <row r="36">
          <cell r="E36">
            <v>64407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9802</v>
          </cell>
        </row>
        <row r="28">
          <cell r="E28">
            <v>36774</v>
          </cell>
        </row>
        <row r="31">
          <cell r="E31">
            <v>571</v>
          </cell>
        </row>
        <row r="35">
          <cell r="E35">
            <v>1073</v>
          </cell>
        </row>
        <row r="36">
          <cell r="E36">
            <v>48220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9687</v>
          </cell>
        </row>
        <row r="28">
          <cell r="E28">
            <v>23422</v>
          </cell>
        </row>
        <row r="31">
          <cell r="E31">
            <v>606</v>
          </cell>
        </row>
        <row r="35">
          <cell r="E35">
            <v>3501</v>
          </cell>
        </row>
        <row r="36">
          <cell r="E36">
            <v>37216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161579</v>
          </cell>
        </row>
        <row r="28">
          <cell r="E28">
            <v>850437</v>
          </cell>
        </row>
        <row r="31">
          <cell r="E31">
            <v>21525</v>
          </cell>
        </row>
        <row r="35">
          <cell r="E35">
            <v>39842</v>
          </cell>
        </row>
        <row r="36">
          <cell r="E36">
            <v>1073383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48240</v>
          </cell>
        </row>
        <row r="28">
          <cell r="E28">
            <v>337536</v>
          </cell>
        </row>
        <row r="31">
          <cell r="E31">
            <v>5363</v>
          </cell>
        </row>
        <row r="35">
          <cell r="E35">
            <v>13763</v>
          </cell>
        </row>
        <row r="36">
          <cell r="E36">
            <v>404902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35055</v>
          </cell>
        </row>
        <row r="28">
          <cell r="E28">
            <v>163749</v>
          </cell>
        </row>
        <row r="31">
          <cell r="E31">
            <v>6668</v>
          </cell>
        </row>
        <row r="35">
          <cell r="E35">
            <v>7570</v>
          </cell>
        </row>
        <row r="36">
          <cell r="E36">
            <v>213042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11878</v>
          </cell>
        </row>
        <row r="28">
          <cell r="E28">
            <v>50261</v>
          </cell>
        </row>
        <row r="31">
          <cell r="E31">
            <v>1488</v>
          </cell>
        </row>
        <row r="35">
          <cell r="E35">
            <v>2471</v>
          </cell>
        </row>
        <row r="36">
          <cell r="E36">
            <v>66098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8013</v>
          </cell>
        </row>
        <row r="28">
          <cell r="E28">
            <v>28001</v>
          </cell>
        </row>
        <row r="31">
          <cell r="E31">
            <v>664</v>
          </cell>
        </row>
        <row r="35">
          <cell r="E35">
            <v>2911</v>
          </cell>
        </row>
        <row r="36">
          <cell r="E36">
            <v>39589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4854</v>
          </cell>
        </row>
        <row r="28">
          <cell r="E28">
            <v>13837</v>
          </cell>
        </row>
        <row r="31">
          <cell r="E31">
            <v>389</v>
          </cell>
        </row>
        <row r="35">
          <cell r="E35">
            <v>1289</v>
          </cell>
        </row>
        <row r="36">
          <cell r="E36">
            <v>20369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PyL"/>
      <sheetName val="Resumen"/>
    </sheetNames>
    <sheetDataSet>
      <sheetData sheetId="0"/>
      <sheetData sheetId="1">
        <row r="17">
          <cell r="E17">
            <v>34067</v>
          </cell>
        </row>
        <row r="28">
          <cell r="E28">
            <v>32157</v>
          </cell>
        </row>
        <row r="31">
          <cell r="E31">
            <v>1200</v>
          </cell>
        </row>
        <row r="35">
          <cell r="E35">
            <v>3577</v>
          </cell>
        </row>
        <row r="36">
          <cell r="E36">
            <v>71001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35606</v>
          </cell>
        </row>
        <row r="28">
          <cell r="E28">
            <v>129813</v>
          </cell>
        </row>
        <row r="31">
          <cell r="E31">
            <v>3252</v>
          </cell>
        </row>
        <row r="35">
          <cell r="E35">
            <v>10945</v>
          </cell>
        </row>
        <row r="36">
          <cell r="E36">
            <v>179616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27778</v>
          </cell>
        </row>
        <row r="28">
          <cell r="E28">
            <v>120384</v>
          </cell>
        </row>
        <row r="31">
          <cell r="E31">
            <v>1808</v>
          </cell>
        </row>
        <row r="35">
          <cell r="E35">
            <v>7392</v>
          </cell>
        </row>
        <row r="36">
          <cell r="E36">
            <v>157362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7296</v>
          </cell>
        </row>
        <row r="28">
          <cell r="E28">
            <v>23317</v>
          </cell>
        </row>
        <row r="31">
          <cell r="E31">
            <v>704</v>
          </cell>
        </row>
        <row r="35">
          <cell r="E35">
            <v>2476</v>
          </cell>
        </row>
        <row r="36">
          <cell r="E36">
            <v>33793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9003</v>
          </cell>
        </row>
        <row r="28">
          <cell r="E28">
            <v>26170</v>
          </cell>
        </row>
        <row r="31">
          <cell r="E31">
            <v>924</v>
          </cell>
        </row>
        <row r="35">
          <cell r="E35">
            <v>1924</v>
          </cell>
        </row>
        <row r="36">
          <cell r="E36">
            <v>38021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27727</v>
          </cell>
        </row>
        <row r="28">
          <cell r="E28">
            <v>126850</v>
          </cell>
        </row>
        <row r="31">
          <cell r="E31">
            <v>2350</v>
          </cell>
        </row>
        <row r="35">
          <cell r="E35">
            <v>5437</v>
          </cell>
        </row>
        <row r="36">
          <cell r="E36">
            <v>162364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3714</v>
          </cell>
        </row>
        <row r="28">
          <cell r="E28">
            <v>12558</v>
          </cell>
        </row>
        <row r="31">
          <cell r="E31">
            <v>267</v>
          </cell>
        </row>
        <row r="35">
          <cell r="E35">
            <v>700</v>
          </cell>
        </row>
        <row r="36">
          <cell r="E36">
            <v>17239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47830</v>
          </cell>
        </row>
        <row r="28">
          <cell r="E28">
            <v>334559</v>
          </cell>
        </row>
        <row r="31">
          <cell r="E31">
            <v>6342</v>
          </cell>
        </row>
        <row r="35">
          <cell r="E35">
            <v>9945</v>
          </cell>
        </row>
        <row r="36">
          <cell r="E36">
            <v>398676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2807</v>
          </cell>
        </row>
        <row r="28">
          <cell r="E28">
            <v>7047</v>
          </cell>
        </row>
        <row r="31">
          <cell r="E31">
            <v>253</v>
          </cell>
        </row>
        <row r="35">
          <cell r="E35">
            <v>504</v>
          </cell>
        </row>
        <row r="36">
          <cell r="E36">
            <v>10611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19702</v>
          </cell>
        </row>
        <row r="28">
          <cell r="E28">
            <v>110234</v>
          </cell>
        </row>
        <row r="31">
          <cell r="E31">
            <v>895</v>
          </cell>
        </row>
        <row r="35">
          <cell r="E35">
            <v>2875</v>
          </cell>
        </row>
        <row r="36">
          <cell r="E36">
            <v>133706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os"/>
      <sheetName val="NºAsuntos"/>
      <sheetName val="Modulos"/>
      <sheetName val="Resol  Asuntos"/>
      <sheetName val="Ejecu  Sentencias"/>
      <sheetName val="Evolución"/>
      <sheetName val="Tasas"/>
      <sheetName val="Indicadores"/>
      <sheetName val="Evolucion"/>
      <sheetName val="Juez"/>
      <sheetName val="Definiciones"/>
      <sheetName val="Datos"/>
      <sheetName val="DatosB"/>
      <sheetName val="Indicadores CA"/>
      <sheetName val="Indicadores CA Reducida"/>
      <sheetName val="Jueces"/>
      <sheetName val="DatosP"/>
      <sheetName val="Indicadores Penal"/>
      <sheetName val="Resumen"/>
    </sheetNames>
    <sheetDataSet>
      <sheetData sheetId="0"/>
      <sheetData sheetId="1">
        <row r="17">
          <cell r="E17">
            <v>1989</v>
          </cell>
        </row>
        <row r="28">
          <cell r="E28">
            <v>8279</v>
          </cell>
        </row>
        <row r="31">
          <cell r="E31">
            <v>198</v>
          </cell>
        </row>
        <row r="35">
          <cell r="E35">
            <v>344</v>
          </cell>
        </row>
        <row r="36">
          <cell r="E36">
            <v>10810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C14:F44"/>
  <sheetViews>
    <sheetView tabSelected="1" workbookViewId="0">
      <selection activeCell="A11" sqref="A11"/>
    </sheetView>
  </sheetViews>
  <sheetFormatPr baseColWidth="10" defaultColWidth="11.42578125" defaultRowHeight="12.75" x14ac:dyDescent="0.2"/>
  <cols>
    <col min="1" max="16384" width="11.42578125" style="1"/>
  </cols>
  <sheetData>
    <row r="14" spans="3:6" ht="20.100000000000001" customHeight="1" x14ac:dyDescent="0.2">
      <c r="C14" s="16" t="s">
        <v>7</v>
      </c>
      <c r="D14" s="16"/>
      <c r="E14" s="16"/>
      <c r="F14" s="16"/>
    </row>
    <row r="15" spans="3:6" ht="20.100000000000001" customHeight="1" x14ac:dyDescent="0.2">
      <c r="C15" s="16" t="s">
        <v>8</v>
      </c>
      <c r="D15" s="16"/>
      <c r="E15" s="16"/>
      <c r="F15" s="16"/>
    </row>
    <row r="16" spans="3:6" ht="20.100000000000001" customHeight="1" x14ac:dyDescent="0.2">
      <c r="C16" s="16" t="s">
        <v>10</v>
      </c>
      <c r="D16" s="16"/>
      <c r="E16" s="16"/>
      <c r="F16" s="16"/>
    </row>
    <row r="17" spans="3:6" ht="20.100000000000001" customHeight="1" x14ac:dyDescent="0.2">
      <c r="C17" s="16" t="s">
        <v>9</v>
      </c>
      <c r="D17" s="16"/>
      <c r="E17" s="16"/>
      <c r="F17" s="16"/>
    </row>
    <row r="18" spans="3:6" ht="20.100000000000001" customHeight="1" x14ac:dyDescent="0.2">
      <c r="C18" s="16" t="s">
        <v>11</v>
      </c>
      <c r="D18" s="16"/>
      <c r="E18" s="16"/>
      <c r="F18" s="16"/>
    </row>
    <row r="19" spans="3:6" ht="20.100000000000001" customHeight="1" x14ac:dyDescent="0.2">
      <c r="C19" s="16" t="s">
        <v>141</v>
      </c>
      <c r="D19" s="16"/>
      <c r="E19" s="16"/>
      <c r="F19" s="16"/>
    </row>
    <row r="20" spans="3:6" ht="20.100000000000001" customHeight="1" x14ac:dyDescent="0.2">
      <c r="C20" s="16" t="s">
        <v>139</v>
      </c>
      <c r="D20" s="16"/>
      <c r="E20" s="16"/>
      <c r="F20" s="16"/>
    </row>
    <row r="21" spans="3:6" ht="20.100000000000001" customHeight="1" x14ac:dyDescent="0.2">
      <c r="C21" s="16" t="s">
        <v>138</v>
      </c>
      <c r="D21" s="16"/>
      <c r="E21" s="16"/>
      <c r="F21" s="16"/>
    </row>
    <row r="22" spans="3:6" ht="20.100000000000001" customHeight="1" x14ac:dyDescent="0.2">
      <c r="C22" s="16" t="s">
        <v>137</v>
      </c>
      <c r="D22" s="16"/>
      <c r="E22" s="16"/>
      <c r="F22" s="16"/>
    </row>
    <row r="23" spans="3:6" ht="20.100000000000001" customHeight="1" x14ac:dyDescent="0.2">
      <c r="C23" s="16" t="s">
        <v>134</v>
      </c>
      <c r="D23" s="16"/>
      <c r="E23" s="16"/>
      <c r="F23" s="16"/>
    </row>
    <row r="24" spans="3:6" ht="20.100000000000001" customHeight="1" x14ac:dyDescent="0.2">
      <c r="C24" s="16" t="s">
        <v>28</v>
      </c>
      <c r="D24" s="16"/>
      <c r="E24" s="16"/>
      <c r="F24" s="16"/>
    </row>
    <row r="25" spans="3:6" ht="20.100000000000001" customHeight="1" x14ac:dyDescent="0.2">
      <c r="C25" s="16" t="s">
        <v>27</v>
      </c>
      <c r="D25" s="16"/>
      <c r="E25" s="16"/>
      <c r="F25" s="16"/>
    </row>
    <row r="26" spans="3:6" ht="20.100000000000001" customHeight="1" x14ac:dyDescent="0.2">
      <c r="C26" s="16" t="s">
        <v>26</v>
      </c>
      <c r="D26" s="16"/>
      <c r="E26" s="16"/>
      <c r="F26" s="16"/>
    </row>
    <row r="27" spans="3:6" ht="20.100000000000001" customHeight="1" x14ac:dyDescent="0.2">
      <c r="C27" s="16" t="s">
        <v>25</v>
      </c>
      <c r="D27" s="16"/>
      <c r="E27" s="16"/>
      <c r="F27" s="16"/>
    </row>
    <row r="28" spans="3:6" ht="20.100000000000001" customHeight="1" x14ac:dyDescent="0.2">
      <c r="C28" s="16" t="s">
        <v>24</v>
      </c>
      <c r="D28" s="16"/>
      <c r="E28" s="16"/>
      <c r="F28" s="16"/>
    </row>
    <row r="29" spans="3:6" ht="20.100000000000001" customHeight="1" x14ac:dyDescent="0.2">
      <c r="C29" s="16" t="s">
        <v>23</v>
      </c>
      <c r="D29" s="16"/>
      <c r="E29" s="16"/>
      <c r="F29" s="16"/>
    </row>
    <row r="30" spans="3:6" ht="20.100000000000001" customHeight="1" x14ac:dyDescent="0.2">
      <c r="C30" s="16" t="s">
        <v>22</v>
      </c>
      <c r="D30" s="16"/>
      <c r="E30" s="16"/>
      <c r="F30" s="16"/>
    </row>
    <row r="31" spans="3:6" ht="20.100000000000001" customHeight="1" x14ac:dyDescent="0.2">
      <c r="C31" s="16" t="s">
        <v>21</v>
      </c>
      <c r="D31" s="16"/>
      <c r="E31" s="16"/>
      <c r="F31" s="16"/>
    </row>
    <row r="32" spans="3:6" ht="20.100000000000001" customHeight="1" x14ac:dyDescent="0.2">
      <c r="C32" s="16" t="s">
        <v>12</v>
      </c>
      <c r="D32" s="16"/>
      <c r="E32" s="16"/>
      <c r="F32" s="16"/>
    </row>
    <row r="33" spans="3:6" ht="20.100000000000001" customHeight="1" x14ac:dyDescent="0.2">
      <c r="C33" s="16" t="s">
        <v>13</v>
      </c>
      <c r="D33" s="16"/>
      <c r="E33" s="16"/>
      <c r="F33" s="16"/>
    </row>
    <row r="34" spans="3:6" ht="20.100000000000001" customHeight="1" x14ac:dyDescent="0.2">
      <c r="C34" s="16" t="s">
        <v>14</v>
      </c>
      <c r="D34" s="16"/>
      <c r="E34" s="16"/>
      <c r="F34" s="16"/>
    </row>
    <row r="35" spans="3:6" ht="20.100000000000001" customHeight="1" x14ac:dyDescent="0.2">
      <c r="C35" s="16" t="s">
        <v>15</v>
      </c>
      <c r="D35" s="16"/>
      <c r="E35" s="16"/>
      <c r="F35" s="16"/>
    </row>
    <row r="36" spans="3:6" ht="20.100000000000001" customHeight="1" x14ac:dyDescent="0.2">
      <c r="C36" s="16" t="s">
        <v>16</v>
      </c>
      <c r="D36" s="16"/>
      <c r="E36" s="16"/>
      <c r="F36" s="16"/>
    </row>
    <row r="37" spans="3:6" ht="20.100000000000001" customHeight="1" x14ac:dyDescent="0.2">
      <c r="C37" s="16" t="s">
        <v>17</v>
      </c>
      <c r="D37" s="16"/>
      <c r="E37" s="16"/>
      <c r="F37" s="16"/>
    </row>
    <row r="38" spans="3:6" ht="20.100000000000001" customHeight="1" x14ac:dyDescent="0.2">
      <c r="C38" s="16" t="s">
        <v>18</v>
      </c>
      <c r="D38" s="16"/>
      <c r="E38" s="16"/>
      <c r="F38" s="16"/>
    </row>
    <row r="39" spans="3:6" ht="20.100000000000001" customHeight="1" x14ac:dyDescent="0.2">
      <c r="C39" s="16" t="s">
        <v>19</v>
      </c>
      <c r="D39" s="16"/>
      <c r="E39" s="16"/>
      <c r="F39" s="16"/>
    </row>
    <row r="40" spans="3:6" ht="20.100000000000001" customHeight="1" x14ac:dyDescent="0.2">
      <c r="C40" s="16" t="s">
        <v>20</v>
      </c>
      <c r="D40" s="16"/>
      <c r="E40" s="16"/>
      <c r="F40" s="16"/>
    </row>
    <row r="41" spans="3:6" ht="20.100000000000001" customHeight="1" x14ac:dyDescent="0.2">
      <c r="C41" s="16" t="s">
        <v>140</v>
      </c>
      <c r="D41" s="16"/>
      <c r="E41" s="16"/>
      <c r="F41" s="16"/>
    </row>
    <row r="42" spans="3:6" ht="20.100000000000001" customHeight="1" x14ac:dyDescent="0.2">
      <c r="C42" s="16"/>
      <c r="D42" s="16"/>
      <c r="E42" s="16"/>
      <c r="F42" s="16"/>
    </row>
    <row r="43" spans="3:6" ht="20.100000000000001" customHeight="1" x14ac:dyDescent="0.2">
      <c r="C43" s="16" t="s">
        <v>135</v>
      </c>
      <c r="D43" s="16"/>
      <c r="E43" s="16"/>
      <c r="F43" s="16"/>
    </row>
    <row r="44" spans="3:6" ht="20.100000000000001" customHeight="1" x14ac:dyDescent="0.2">
      <c r="C44" s="16" t="s">
        <v>136</v>
      </c>
      <c r="D44" s="16"/>
      <c r="E44" s="16"/>
      <c r="F44" s="16"/>
    </row>
  </sheetData>
  <phoneticPr fontId="1" type="noConversion"/>
  <hyperlinks>
    <hyperlink ref="C14" location="'Serie Total'!A1" display="Serie Total" xr:uid="{00000000-0004-0000-0000-000000000000}"/>
    <hyperlink ref="C15" location="'Serie civil'!A1" display="Serie Civil" xr:uid="{00000000-0004-0000-0000-000001000000}"/>
    <hyperlink ref="C16" location="'Serie penal'!A1" display="Serie Penal" xr:uid="{00000000-0004-0000-0000-000002000000}"/>
    <hyperlink ref="C17:D17" location="'Serie contencioso'!A1" display="Serie Contencioso" xr:uid="{00000000-0004-0000-0000-000003000000}"/>
    <hyperlink ref="C18" location="'Serie social'!A1" display="Serie Social" xr:uid="{00000000-0004-0000-0000-000004000000}"/>
    <hyperlink ref="C32" location="'2009'!A1" display="Año 2009" xr:uid="{00000000-0004-0000-0000-000005000000}"/>
    <hyperlink ref="C33" location="'2008'!A1" display="Año 2008" xr:uid="{00000000-0004-0000-0000-000006000000}"/>
    <hyperlink ref="C34" location="'2007'!A1" display="Año 2007" xr:uid="{00000000-0004-0000-0000-000007000000}"/>
    <hyperlink ref="C35" location="'2006'!A1" display="Año 2006" xr:uid="{00000000-0004-0000-0000-000008000000}"/>
    <hyperlink ref="C36" location="'2005'!A1" display="Año 2005" xr:uid="{00000000-0004-0000-0000-000009000000}"/>
    <hyperlink ref="C37" location="'2004'!A1" display="Año 2004" xr:uid="{00000000-0004-0000-0000-00000A000000}"/>
    <hyperlink ref="C38" location="'2003'!A1" display="Año 2003" xr:uid="{00000000-0004-0000-0000-00000B000000}"/>
    <hyperlink ref="C39" location="'2002'!A1" display="Año 2002" xr:uid="{00000000-0004-0000-0000-00000C000000}"/>
    <hyperlink ref="C40" location="'2001'!A1" display="Año 2001" xr:uid="{00000000-0004-0000-0000-00000D000000}"/>
    <hyperlink ref="C31" location="'2010'!A1" display="Año 2010" xr:uid="{00000000-0004-0000-0000-00000E000000}"/>
    <hyperlink ref="C30" location="'2011'!A1" display="Año 2011" xr:uid="{00000000-0004-0000-0000-00000F000000}"/>
    <hyperlink ref="C29" location="'2012'!A1" display="Año 2012" xr:uid="{00000000-0004-0000-0000-000010000000}"/>
    <hyperlink ref="C28" location="'2013'!A1" display="Año 2013" xr:uid="{00000000-0004-0000-0000-000011000000}"/>
    <hyperlink ref="C27" location="'2014'!A1" display="Año 2014" xr:uid="{00000000-0004-0000-0000-000012000000}"/>
    <hyperlink ref="C26" location="'2015'!A1" display="Año 2015" xr:uid="{00000000-0004-0000-0000-000013000000}"/>
    <hyperlink ref="C25" location="'2015'!A1" display="Año 2015" xr:uid="{00000000-0004-0000-0000-000014000000}"/>
    <hyperlink ref="C25:D25" location="'2016'!A1" display="Año 2016" xr:uid="{00000000-0004-0000-0000-000015000000}"/>
    <hyperlink ref="C24" location="'2017'!A1" display="Año 2017" xr:uid="{00000000-0004-0000-0000-000016000000}"/>
    <hyperlink ref="C23" location="'2018'!A1" display="Año 2018" xr:uid="{00000000-0004-0000-0000-000017000000}"/>
    <hyperlink ref="C22" location="'2019'!A1" display="Año 2019" xr:uid="{00000000-0004-0000-0000-000018000000}"/>
    <hyperlink ref="C21" location="'2020'!A1" display="Año 2019" xr:uid="{00000000-0004-0000-0000-000019000000}"/>
    <hyperlink ref="C20" location="'2021'!A1" display="Año 2021" xr:uid="{E01097C0-527D-457D-BE66-636283912853}"/>
    <hyperlink ref="C41" location="Población!A1" display="Población" xr:uid="{8B94B0D7-9BEF-4811-B0F1-F79B52BE6892}"/>
    <hyperlink ref="C19" location="'2022'!A1" display="Año 2022" xr:uid="{F2FA1B70-0FF1-4515-B386-CD2A85261350}"/>
  </hyperlinks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8:H62"/>
  <sheetViews>
    <sheetView workbookViewId="0"/>
  </sheetViews>
  <sheetFormatPr baseColWidth="10" defaultColWidth="10.710937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0.7109375" style="1"/>
  </cols>
  <sheetData>
    <row r="8" spans="2:8" ht="13.5" thickBot="1" x14ac:dyDescent="0.25"/>
    <row r="9" spans="2:8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8" ht="20.100000000000001" customHeight="1" thickBot="1" x14ac:dyDescent="0.25">
      <c r="B10" s="9" t="s">
        <v>31</v>
      </c>
      <c r="C10" s="14">
        <f>[160]NºAsuntos!$E$36/Población!$U$10*1000</f>
        <v>101.54392310526138</v>
      </c>
      <c r="D10" s="14">
        <f>[160]NºAsuntos!$E$17/Población!$U$10*1000</f>
        <v>45.86170385426891</v>
      </c>
      <c r="E10" s="14">
        <f>[160]NºAsuntos!$E$28/Población!$U$10*1000</f>
        <v>45.464967398052899</v>
      </c>
      <c r="F10" s="14">
        <f>[160]NºAsuntos!$E$31/Población!$U$10*1000</f>
        <v>2.5298389610657268</v>
      </c>
      <c r="G10" s="14">
        <f>[160]NºAsuntos!$E$35/Población!$U$10*1000</f>
        <v>7.6874128918738576</v>
      </c>
      <c r="H10" s="3"/>
    </row>
    <row r="11" spans="2:8" ht="20.100000000000001" customHeight="1" thickBot="1" x14ac:dyDescent="0.25">
      <c r="B11" s="9" t="s">
        <v>32</v>
      </c>
      <c r="C11" s="14">
        <f>[161]NºAsuntos!$E$36/Población!$U$11*1000</f>
        <v>123.1339609820502</v>
      </c>
      <c r="D11" s="14">
        <f>[161]NºAsuntos!$E$17/Población!$U$11*1000</f>
        <v>51.641404155523027</v>
      </c>
      <c r="E11" s="14">
        <f>[161]NºAsuntos!$E$28/Población!$U$11*1000</f>
        <v>62.413547657131417</v>
      </c>
      <c r="F11" s="14">
        <f>[161]NºAsuntos!$E$31/Población!$U$11*1000</f>
        <v>2.5851637960857232</v>
      </c>
      <c r="G11" s="14">
        <f>[161]NºAsuntos!$E$35/Población!$U$11*1000</f>
        <v>6.4938453733100268</v>
      </c>
      <c r="H11" s="3"/>
    </row>
    <row r="12" spans="2:8" ht="20.100000000000001" customHeight="1" thickBot="1" x14ac:dyDescent="0.25">
      <c r="B12" s="9" t="s">
        <v>33</v>
      </c>
      <c r="C12" s="14">
        <f>[162]NºAsuntos!$E$36/Población!$U$12*1000</f>
        <v>130.20563042325827</v>
      </c>
      <c r="D12" s="14">
        <f>[162]NºAsuntos!$E$17/Población!$U$12*1000</f>
        <v>47.894869004771074</v>
      </c>
      <c r="E12" s="14">
        <f>[162]NºAsuntos!$E$28/Población!$U$12*1000</f>
        <v>70.743003822437998</v>
      </c>
      <c r="F12" s="14">
        <f>[162]NºAsuntos!$E$31/Población!$U$12*1000</f>
        <v>3.2239613850059987</v>
      </c>
      <c r="G12" s="14">
        <f>[162]NºAsuntos!$E$35/Población!$U$12*1000</f>
        <v>8.3437962110432178</v>
      </c>
      <c r="H12" s="3"/>
    </row>
    <row r="13" spans="2:8" ht="20.100000000000001" customHeight="1" thickBot="1" x14ac:dyDescent="0.25">
      <c r="B13" s="9" t="s">
        <v>34</v>
      </c>
      <c r="C13" s="14">
        <f>[163]NºAsuntos!$E$36/Población!$U$13*1000</f>
        <v>96.643331754883889</v>
      </c>
      <c r="D13" s="14">
        <f>[163]NºAsuntos!$E$17/Población!$U$13*1000</f>
        <v>46.385300513649568</v>
      </c>
      <c r="E13" s="14">
        <f>[163]NºAsuntos!$E$28/Población!$U$13*1000</f>
        <v>35.436692615571154</v>
      </c>
      <c r="F13" s="14">
        <f>[163]NºAsuntos!$E$31/Población!$U$13*1000</f>
        <v>5.7125794377301693</v>
      </c>
      <c r="G13" s="14">
        <f>[163]NºAsuntos!$E$35/Población!$U$13*1000</f>
        <v>9.1087591879330052</v>
      </c>
      <c r="H13" s="3"/>
    </row>
    <row r="14" spans="2:8" ht="20.100000000000001" customHeight="1" thickBot="1" x14ac:dyDescent="0.25">
      <c r="B14" s="9" t="s">
        <v>35</v>
      </c>
      <c r="C14" s="14">
        <f>[164]NºAsuntos!$E$36/Población!$U$14*1000</f>
        <v>130.7870551427454</v>
      </c>
      <c r="D14" s="14">
        <f>[164]NºAsuntos!$E$17/Población!$U$14*1000</f>
        <v>63.039694955025425</v>
      </c>
      <c r="E14" s="14">
        <f>[164]NºAsuntos!$E$28/Población!$U$14*1000</f>
        <v>53.816973015252245</v>
      </c>
      <c r="F14" s="14">
        <f>[164]NºAsuntos!$E$31/Población!$U$14*1000</f>
        <v>3.6224090731325771</v>
      </c>
      <c r="G14" s="14">
        <f>[164]NºAsuntos!$E$35/Población!$U$14*1000</f>
        <v>10.307978099335159</v>
      </c>
      <c r="H14" s="3"/>
    </row>
    <row r="15" spans="2:8" ht="20.100000000000001" customHeight="1" thickBot="1" x14ac:dyDescent="0.25">
      <c r="B15" s="9" t="s">
        <v>36</v>
      </c>
      <c r="C15" s="14">
        <f>[165]NºAsuntos!$E$36/Población!$U$15*1000</f>
        <v>96.733062674448107</v>
      </c>
      <c r="D15" s="14">
        <f>[165]NºAsuntos!$E$17/Población!$U$15*1000</f>
        <v>41.112661760974369</v>
      </c>
      <c r="E15" s="14">
        <f>[165]NºAsuntos!$E$28/Población!$U$15*1000</f>
        <v>49.625729510276578</v>
      </c>
      <c r="F15" s="14">
        <f>[165]NºAsuntos!$E$31/Población!$U$15*1000</f>
        <v>2.1631565592489217</v>
      </c>
      <c r="G15" s="14">
        <f>[165]NºAsuntos!$E$35/Población!$U$15*1000</f>
        <v>3.8315148439482365</v>
      </c>
      <c r="H15" s="3"/>
    </row>
    <row r="16" spans="2:8" ht="20.100000000000001" customHeight="1" thickBot="1" x14ac:dyDescent="0.25">
      <c r="B16" s="9" t="s">
        <v>37</v>
      </c>
      <c r="C16" s="14">
        <f>[166]NºAsuntos!$E$36/Población!$U$16*1000</f>
        <v>100.50641443437027</v>
      </c>
      <c r="D16" s="14">
        <f>[166]NºAsuntos!$E$17/Población!$U$16*1000</f>
        <v>42.226441930105601</v>
      </c>
      <c r="E16" s="14">
        <f>[166]NºAsuntos!$E$28/Población!$U$16*1000</f>
        <v>51.204126141882156</v>
      </c>
      <c r="F16" s="14">
        <f>[166]NºAsuntos!$E$31/Población!$U$16*1000</f>
        <v>1.5529448793646881</v>
      </c>
      <c r="G16" s="14">
        <f>[166]NºAsuntos!$E$35/Población!$U$16*1000</f>
        <v>5.5229014830178205</v>
      </c>
      <c r="H16" s="3"/>
    </row>
    <row r="17" spans="2:8" ht="20.100000000000001" customHeight="1" thickBot="1" x14ac:dyDescent="0.25">
      <c r="B17" s="9" t="s">
        <v>29</v>
      </c>
      <c r="C17" s="14">
        <f>[167]NºAsuntos!$E$36/Población!$U$17*1000</f>
        <v>132.62575470220798</v>
      </c>
      <c r="D17" s="14">
        <f>[167]NºAsuntos!$E$17/Población!$U$17*1000</f>
        <v>57.40782628364623</v>
      </c>
      <c r="E17" s="14">
        <f>[167]NºAsuntos!$E$28/Población!$U$17*1000</f>
        <v>66.866180641344627</v>
      </c>
      <c r="F17" s="14">
        <f>[167]NºAsuntos!$E$31/Población!$U$17*1000</f>
        <v>1.8600038278843978</v>
      </c>
      <c r="G17" s="14">
        <f>[167]NºAsuntos!$E$35/Población!$U$17*1000</f>
        <v>6.4917439493327302</v>
      </c>
      <c r="H17" s="3"/>
    </row>
    <row r="18" spans="2:8" ht="20.100000000000001" customHeight="1" thickBot="1" x14ac:dyDescent="0.25">
      <c r="B18" s="9" t="s">
        <v>38</v>
      </c>
      <c r="C18" s="14">
        <f>[168]NºAsuntos!$E$36/Población!$U$18*1000</f>
        <v>125.70395787577507</v>
      </c>
      <c r="D18" s="14">
        <f>[168]NºAsuntos!$E$17/Población!$U$18*1000</f>
        <v>52.106431916652589</v>
      </c>
      <c r="E18" s="14">
        <f>[168]NºAsuntos!$E$28/Población!$U$18*1000</f>
        <v>64.256849449888506</v>
      </c>
      <c r="F18" s="14">
        <f>[168]NºAsuntos!$E$31/Población!$U$18*1000</f>
        <v>1.5441571209440277</v>
      </c>
      <c r="G18" s="14">
        <f>[168]NºAsuntos!$E$35/Población!$U$18*1000</f>
        <v>7.7965193882899335</v>
      </c>
      <c r="H18" s="3"/>
    </row>
    <row r="19" spans="2:8" ht="20.100000000000001" customHeight="1" thickBot="1" x14ac:dyDescent="0.25">
      <c r="B19" s="9" t="s">
        <v>39</v>
      </c>
      <c r="C19" s="14">
        <f>[169]NºAsuntos!$E$36/Población!$U$19*1000</f>
        <v>94.889086115398328</v>
      </c>
      <c r="D19" s="14">
        <f>[169]NºAsuntos!$E$17/Población!$U$19*1000</f>
        <v>44.077522164124261</v>
      </c>
      <c r="E19" s="14">
        <f>[169]NºAsuntos!$E$28/Población!$U$19*1000</f>
        <v>38.987516603030748</v>
      </c>
      <c r="F19" s="14">
        <f>[169]NºAsuntos!$E$31/Población!$U$19*1000</f>
        <v>1.634493007857539</v>
      </c>
      <c r="G19" s="14">
        <f>[169]NºAsuntos!$E$35/Población!$U$19*1000</f>
        <v>10.189554340385772</v>
      </c>
      <c r="H19" s="3"/>
    </row>
    <row r="20" spans="2:8" ht="20.100000000000001" customHeight="1" thickBot="1" x14ac:dyDescent="0.25">
      <c r="B20" s="9" t="s">
        <v>40</v>
      </c>
      <c r="C20" s="14">
        <f>[170]NºAsuntos!$E$36/Población!$U$20*1000</f>
        <v>109.10247143921693</v>
      </c>
      <c r="D20" s="14">
        <f>[170]NºAsuntos!$E$17/Población!$U$20*1000</f>
        <v>49.19066108617821</v>
      </c>
      <c r="E20" s="14">
        <f>[170]NºAsuntos!$E$28/Población!$U$20*1000</f>
        <v>49.776164142560191</v>
      </c>
      <c r="F20" s="14">
        <f>[170]NºAsuntos!$E$31/Población!$U$20*1000</f>
        <v>2.5044963272990102</v>
      </c>
      <c r="G20" s="14">
        <f>[170]NºAsuntos!$E$35/Población!$U$20*1000</f>
        <v>7.6311498831795337</v>
      </c>
      <c r="H20" s="3"/>
    </row>
    <row r="21" spans="2:8" ht="20.100000000000001" customHeight="1" thickBot="1" x14ac:dyDescent="0.25">
      <c r="B21" s="9" t="s">
        <v>41</v>
      </c>
      <c r="C21" s="14">
        <f>[171]NºAsuntos!$E$36/Población!$U$21*1000</f>
        <v>94.385146809217787</v>
      </c>
      <c r="D21" s="14">
        <f>[171]NºAsuntos!$E$17/Población!$U$21*1000</f>
        <v>38.924168656174913</v>
      </c>
      <c r="E21" s="14">
        <f>[171]NºAsuntos!$E$28/Población!$U$21*1000</f>
        <v>49.815933487419798</v>
      </c>
      <c r="F21" s="14">
        <f>[171]NºAsuntos!$E$31/Población!$U$21*1000</f>
        <v>1.2533267707046285</v>
      </c>
      <c r="G21" s="14">
        <f>[171]NºAsuntos!$E$35/Población!$U$21*1000</f>
        <v>4.391717894918445</v>
      </c>
      <c r="H21" s="3"/>
    </row>
    <row r="22" spans="2:8" ht="20.100000000000001" customHeight="1" thickBot="1" x14ac:dyDescent="0.25">
      <c r="B22" s="9" t="s">
        <v>42</v>
      </c>
      <c r="C22" s="14">
        <f>[172]NºAsuntos!$E$36/Población!$U$22*1000</f>
        <v>146.16398756607038</v>
      </c>
      <c r="D22" s="14">
        <f>[172]NºAsuntos!$E$17/Población!$U$22*1000</f>
        <v>53.623942168519257</v>
      </c>
      <c r="E22" s="14">
        <f>[172]NºAsuntos!$E$28/Población!$U$22*1000</f>
        <v>71.685394164439131</v>
      </c>
      <c r="F22" s="14">
        <f>[172]NºAsuntos!$E$31/Población!$U$22*1000</f>
        <v>14.015183585922728</v>
      </c>
      <c r="G22" s="14">
        <f>[172]NºAsuntos!$E$35/Población!$U$22*1000</f>
        <v>6.8394676471892621</v>
      </c>
      <c r="H22" s="3"/>
    </row>
    <row r="23" spans="2:8" ht="20.100000000000001" customHeight="1" thickBot="1" x14ac:dyDescent="0.25">
      <c r="B23" s="9" t="s">
        <v>5</v>
      </c>
      <c r="C23" s="14">
        <f>[173]NºAsuntos!$E$36/Población!$U$23*1000</f>
        <v>127.84170111413614</v>
      </c>
      <c r="D23" s="14">
        <f>[173]NºAsuntos!$E$17/Población!$U$23*1000</f>
        <v>61.597582424390531</v>
      </c>
      <c r="E23" s="14">
        <f>[173]NºAsuntos!$E$28/Población!$U$23*1000</f>
        <v>54.942709928787529</v>
      </c>
      <c r="F23" s="14">
        <f>[173]NºAsuntos!$E$31/Población!$U$23*1000</f>
        <v>2.0823366226220923</v>
      </c>
      <c r="G23" s="14">
        <f>[173]NºAsuntos!$E$35/Población!$U$23*1000</f>
        <v>9.2190721383359886</v>
      </c>
      <c r="H23" s="3"/>
    </row>
    <row r="24" spans="2:8" ht="20.100000000000001" customHeight="1" thickBot="1" x14ac:dyDescent="0.25">
      <c r="B24" s="9" t="s">
        <v>43</v>
      </c>
      <c r="C24" s="14">
        <f>[174]NºAsuntos!$E$36/Población!$U$24*1000</f>
        <v>116.68695535224721</v>
      </c>
      <c r="D24" s="14">
        <f>[174]NºAsuntos!$E$17/Población!$U$24*1000</f>
        <v>48.10142733489436</v>
      </c>
      <c r="E24" s="14">
        <f>[174]NºAsuntos!$E$28/Población!$U$24*1000</f>
        <v>58.583148551111968</v>
      </c>
      <c r="F24" s="14">
        <f>[174]NºAsuntos!$E$31/Población!$U$24*1000</f>
        <v>3.1881399126149645</v>
      </c>
      <c r="G24" s="14">
        <f>[174]NºAsuntos!$E$35/Población!$U$24*1000</f>
        <v>6.814239553625927</v>
      </c>
      <c r="H24" s="3"/>
    </row>
    <row r="25" spans="2:8" ht="20.100000000000001" customHeight="1" thickBot="1" x14ac:dyDescent="0.25">
      <c r="B25" s="9" t="s">
        <v>44</v>
      </c>
      <c r="C25" s="14">
        <f>[175]NºAsuntos!$E$36/Población!$U$25*1000</f>
        <v>107.51753365028713</v>
      </c>
      <c r="D25" s="14">
        <f>[175]NºAsuntos!$E$17/Población!$U$25*1000</f>
        <v>45.856773727663125</v>
      </c>
      <c r="E25" s="14">
        <f>[175]NºAsuntos!$E$28/Población!$U$25*1000</f>
        <v>53.152627980014564</v>
      </c>
      <c r="F25" s="14">
        <f>[175]NºAsuntos!$E$31/Población!$U$25*1000</f>
        <v>2.1845203636429651</v>
      </c>
      <c r="G25" s="14">
        <f>[175]NºAsuntos!$E$35/Población!$U$25*1000</f>
        <v>6.323611578966478</v>
      </c>
      <c r="H25" s="3"/>
    </row>
    <row r="26" spans="2:8" ht="20.100000000000001" customHeight="1" thickBot="1" x14ac:dyDescent="0.25">
      <c r="B26" s="9" t="s">
        <v>45</v>
      </c>
      <c r="C26" s="14">
        <f>[176]NºAsuntos!$E$36/Población!$U$26*1000</f>
        <v>124.2957984824625</v>
      </c>
      <c r="D26" s="14">
        <f>[176]NºAsuntos!$E$17/Población!$U$26*1000</f>
        <v>42.805745747970256</v>
      </c>
      <c r="E26" s="14">
        <f>[176]NºAsuntos!$E$28/Población!$U$26*1000</f>
        <v>73.171821977345488</v>
      </c>
      <c r="F26" s="14">
        <f>[176]NºAsuntos!$E$31/Población!$U$26*1000</f>
        <v>2.0166568962896836</v>
      </c>
      <c r="G26" s="14">
        <f>[176]NºAsuntos!$E$35/Población!$U$26*1000</f>
        <v>6.3015738608570597</v>
      </c>
      <c r="H26" s="3"/>
    </row>
    <row r="27" spans="2:8" ht="20.100000000000001" customHeight="1" thickBot="1" x14ac:dyDescent="0.25">
      <c r="B27" s="9" t="s">
        <v>46</v>
      </c>
      <c r="C27" s="14">
        <f>[177]NºAsuntos!$E$36/Población!$U$27*1000</f>
        <v>108.13186185016738</v>
      </c>
      <c r="D27" s="14">
        <f>[177]NºAsuntos!$E$17/Población!$U$27*1000</f>
        <v>48.878345403163287</v>
      </c>
      <c r="E27" s="14">
        <f>[177]NºAsuntos!$E$28/Población!$U$27*1000</f>
        <v>46.805276188910995</v>
      </c>
      <c r="F27" s="14">
        <f>[177]NºAsuntos!$E$31/Población!$U$27*1000</f>
        <v>2.1579212501652383</v>
      </c>
      <c r="G27" s="14">
        <f>[177]NºAsuntos!$E$35/Población!$U$27*1000</f>
        <v>10.290319007927859</v>
      </c>
      <c r="H27" s="3"/>
    </row>
    <row r="28" spans="2:8" ht="20.100000000000001" customHeight="1" thickBot="1" x14ac:dyDescent="0.25">
      <c r="B28" s="9" t="s">
        <v>47</v>
      </c>
      <c r="C28" s="14">
        <f>[178]NºAsuntos!$E$36/Población!$U$28*1000</f>
        <v>98.722043101121074</v>
      </c>
      <c r="D28" s="14">
        <f>[178]NºAsuntos!$E$17/Población!$U$28*1000</f>
        <v>35.664624176764512</v>
      </c>
      <c r="E28" s="14">
        <f>[178]NºAsuntos!$E$28/Población!$U$28*1000</f>
        <v>54.26605341034692</v>
      </c>
      <c r="F28" s="14">
        <f>[178]NºAsuntos!$E$31/Población!$U$28*1000</f>
        <v>2.5823999511024862</v>
      </c>
      <c r="G28" s="14">
        <f>[178]NºAsuntos!$E$35/Población!$U$28*1000</f>
        <v>6.208965562907161</v>
      </c>
    </row>
    <row r="29" spans="2:8" ht="20.100000000000001" customHeight="1" thickBot="1" x14ac:dyDescent="0.25">
      <c r="B29" s="9" t="s">
        <v>48</v>
      </c>
      <c r="C29" s="14">
        <f>[179]NºAsuntos!$E$36/Población!$U$10*1000</f>
        <v>156.35795933193702</v>
      </c>
      <c r="D29" s="14">
        <f>[179]NºAsuntos!$E$17/Población!$U$10*1000</f>
        <v>57.452076039436633</v>
      </c>
      <c r="E29" s="14">
        <f>[179]NºAsuntos!$E$28/Población!$U$10*1000</f>
        <v>82.459353834818515</v>
      </c>
      <c r="F29" s="14">
        <f>[179]NºAsuntos!$E$31/Población!$U$10*1000</f>
        <v>5.4461095353288664</v>
      </c>
      <c r="G29" s="14">
        <f>[179]NºAsuntos!$E$35/Población!$U$10*1000</f>
        <v>11.000419922353007</v>
      </c>
    </row>
    <row r="30" spans="2:8" ht="20.100000000000001" customHeight="1" thickBot="1" x14ac:dyDescent="0.25">
      <c r="B30" s="9" t="s">
        <v>49</v>
      </c>
      <c r="C30" s="14">
        <f>[180]NºAsuntos!$E$36/Población!$U$30*1000</f>
        <v>121.53132635751007</v>
      </c>
      <c r="D30" s="14">
        <f>[180]NºAsuntos!$E$17/Población!$U$30*1000</f>
        <v>45.121938566411259</v>
      </c>
      <c r="E30" s="14">
        <f>[180]NºAsuntos!$E$28/Población!$U$30*1000</f>
        <v>69.905219416790743</v>
      </c>
      <c r="F30" s="14">
        <f>[180]NºAsuntos!$E$31/Población!$U$30*1000</f>
        <v>1.6172877293643424</v>
      </c>
      <c r="G30" s="14">
        <f>[180]NºAsuntos!$E$35/Población!$U$30*1000</f>
        <v>4.886880644943739</v>
      </c>
    </row>
    <row r="31" spans="2:8" ht="20.100000000000001" customHeight="1" thickBot="1" x14ac:dyDescent="0.25">
      <c r="B31" s="9" t="s">
        <v>50</v>
      </c>
      <c r="C31" s="14">
        <f>[181]NºAsuntos!$E$36/Población!$U$31*1000</f>
        <v>145.85788660053046</v>
      </c>
      <c r="D31" s="14">
        <f>[181]NºAsuntos!$E$17/Población!$U$31*1000</f>
        <v>49.84486343828101</v>
      </c>
      <c r="E31" s="14">
        <f>[181]NºAsuntos!$E$28/Población!$U$31*1000</f>
        <v>75.299722962616343</v>
      </c>
      <c r="F31" s="14">
        <f>[181]NºAsuntos!$E$31/Población!$U$31*1000</f>
        <v>11.160211571722508</v>
      </c>
      <c r="G31" s="14">
        <f>[181]NºAsuntos!$E$35/Población!$U$31*1000</f>
        <v>9.5530886279105882</v>
      </c>
    </row>
    <row r="32" spans="2:8" ht="20.100000000000001" customHeight="1" thickBot="1" x14ac:dyDescent="0.25">
      <c r="B32" s="9" t="s">
        <v>51</v>
      </c>
      <c r="C32" s="14">
        <f>[182]NºAsuntos!$E$36/Población!$U$32*1000</f>
        <v>105.77587076450369</v>
      </c>
      <c r="D32" s="14">
        <f>[182]NºAsuntos!$E$17/Población!$U$32*1000</f>
        <v>46.271366609507993</v>
      </c>
      <c r="E32" s="14">
        <f>[182]NºAsuntos!$E$28/Población!$U$32*1000</f>
        <v>49.103436503441159</v>
      </c>
      <c r="F32" s="14">
        <f>[182]NºAsuntos!$E$31/Población!$U$32*1000</f>
        <v>2.1453899333493687</v>
      </c>
      <c r="G32" s="14">
        <f>[182]NºAsuntos!$E$35/Población!$U$32*1000</f>
        <v>8.2556777182051668</v>
      </c>
    </row>
    <row r="33" spans="2:7" ht="20.100000000000001" customHeight="1" thickBot="1" x14ac:dyDescent="0.25">
      <c r="B33" s="9" t="s">
        <v>52</v>
      </c>
      <c r="C33" s="14">
        <f>[183]NºAsuntos!$E$36/Población!$U$33*1000</f>
        <v>127.71379845555406</v>
      </c>
      <c r="D33" s="14">
        <f>[183]NºAsuntos!$E$17/Población!$U$33*1000</f>
        <v>51.259892310345485</v>
      </c>
      <c r="E33" s="14">
        <f>[183]NºAsuntos!$E$28/Población!$U$33*1000</f>
        <v>66.95920439956312</v>
      </c>
      <c r="F33" s="14">
        <f>[183]NºAsuntos!$E$31/Población!$U$33*1000</f>
        <v>2.6366719681146646</v>
      </c>
      <c r="G33" s="14">
        <f>[183]NºAsuntos!$E$35/Población!$U$33*1000</f>
        <v>6.8580297775308026</v>
      </c>
    </row>
    <row r="34" spans="2:7" ht="20.100000000000001" customHeight="1" thickBot="1" x14ac:dyDescent="0.25">
      <c r="B34" s="9" t="s">
        <v>53</v>
      </c>
      <c r="C34" s="14">
        <f>[184]NºAsuntos!$E$36/Población!$U$34*1000</f>
        <v>99.205755212940161</v>
      </c>
      <c r="D34" s="14">
        <f>[184]NºAsuntos!$E$17/Población!$U$34*1000</f>
        <v>39.603376560933675</v>
      </c>
      <c r="E34" s="14">
        <f>[184]NºAsuntos!$E$28/Población!$U$34*1000</f>
        <v>53.841722572246333</v>
      </c>
      <c r="F34" s="14">
        <f>[184]NºAsuntos!$E$31/Población!$U$34*1000</f>
        <v>1.7236608742589392</v>
      </c>
      <c r="G34" s="14">
        <f>[184]NºAsuntos!$E$35/Población!$U$34*1000</f>
        <v>4.0369952055012002</v>
      </c>
    </row>
    <row r="35" spans="2:7" ht="20.100000000000001" customHeight="1" thickBot="1" x14ac:dyDescent="0.25">
      <c r="B35" s="9" t="s">
        <v>54</v>
      </c>
      <c r="C35" s="14">
        <f>[185]NºAsuntos!$E$36/Población!$U$35*1000</f>
        <v>109.90049939706171</v>
      </c>
      <c r="D35" s="14">
        <f>[185]NºAsuntos!$E$17/Población!$U$35*1000</f>
        <v>41.634310030241615</v>
      </c>
      <c r="E35" s="14">
        <f>[185]NºAsuntos!$E$28/Población!$U$35*1000</f>
        <v>59.8518855237987</v>
      </c>
      <c r="F35" s="14">
        <f>[185]NºAsuntos!$E$31/Población!$U$35*1000</f>
        <v>2.4512125057610596</v>
      </c>
      <c r="G35" s="14">
        <f>[185]NºAsuntos!$E$35/Población!$U$35*1000</f>
        <v>5.963091337260324</v>
      </c>
    </row>
    <row r="36" spans="2:7" ht="20.100000000000001" customHeight="1" thickBot="1" x14ac:dyDescent="0.25">
      <c r="B36" s="9" t="s">
        <v>55</v>
      </c>
      <c r="C36" s="14">
        <f>[186]NºAsuntos!$E$36/Población!$U$36*1000</f>
        <v>115.97148701850648</v>
      </c>
      <c r="D36" s="14">
        <f>[186]NºAsuntos!$E$17/Población!$U$36*1000</f>
        <v>51.910756715746267</v>
      </c>
      <c r="E36" s="14">
        <f>[186]NºAsuntos!$E$28/Población!$U$36*1000</f>
        <v>52.289016763007041</v>
      </c>
      <c r="F36" s="14">
        <f>[186]NºAsuntos!$E$31/Población!$U$36*1000</f>
        <v>2.0369520935824053</v>
      </c>
      <c r="G36" s="14">
        <f>[186]NºAsuntos!$E$35/Población!$U$36*1000</f>
        <v>9.7347614461707686</v>
      </c>
    </row>
    <row r="37" spans="2:7" ht="20.100000000000001" customHeight="1" thickBot="1" x14ac:dyDescent="0.25">
      <c r="B37" s="9" t="s">
        <v>56</v>
      </c>
      <c r="C37" s="14">
        <f>[187]NºAsuntos!$E$36/Población!$U$37*1000</f>
        <v>116.18651277217023</v>
      </c>
      <c r="D37" s="14">
        <f>[187]NºAsuntos!$E$17/Población!$U$37*1000</f>
        <v>47.235187271514953</v>
      </c>
      <c r="E37" s="14">
        <f>[187]NºAsuntos!$E$28/Población!$U$37*1000</f>
        <v>62.619272066769369</v>
      </c>
      <c r="F37" s="14">
        <f>[187]NºAsuntos!$E$31/Población!$U$37*1000</f>
        <v>1.3450440300738049</v>
      </c>
      <c r="G37" s="14">
        <f>[187]NºAsuntos!$E$35/Población!$U$37*1000</f>
        <v>4.9870094038121078</v>
      </c>
    </row>
    <row r="38" spans="2:7" ht="20.100000000000001" customHeight="1" thickBot="1" x14ac:dyDescent="0.25">
      <c r="B38" s="9" t="s">
        <v>57</v>
      </c>
      <c r="C38" s="14">
        <f>[188]NºAsuntos!$E$36/Población!$U$38*1000</f>
        <v>107.08250021997227</v>
      </c>
      <c r="D38" s="14">
        <f>[188]NºAsuntos!$E$17/Población!$U$38*1000</f>
        <v>48.682138555222139</v>
      </c>
      <c r="E38" s="14">
        <f>[188]NºAsuntos!$E$28/Población!$U$38*1000</f>
        <v>46.124392042161858</v>
      </c>
      <c r="F38" s="14">
        <f>[188]NºAsuntos!$E$31/Población!$U$38*1000</f>
        <v>2.6609059216534634</v>
      </c>
      <c r="G38" s="14">
        <f>[188]NºAsuntos!$E$35/Población!$U$38*1000</f>
        <v>9.6150637009348063</v>
      </c>
    </row>
    <row r="39" spans="2:7" ht="20.100000000000001" customHeight="1" thickBot="1" x14ac:dyDescent="0.25">
      <c r="B39" s="9" t="s">
        <v>58</v>
      </c>
      <c r="C39" s="14">
        <f>[189]NºAsuntos!$E$36/Población!$U$39*1000</f>
        <v>125.42752237073179</v>
      </c>
      <c r="D39" s="14">
        <f>[189]NºAsuntos!$E$17/Población!$U$39*1000</f>
        <v>54.611058568651352</v>
      </c>
      <c r="E39" s="14">
        <f>[189]NºAsuntos!$E$28/Población!$U$39*1000</f>
        <v>58.720075685153837</v>
      </c>
      <c r="F39" s="14">
        <f>[189]NºAsuntos!$E$31/Población!$U$39*1000</f>
        <v>2.9519491118189922</v>
      </c>
      <c r="G39" s="14">
        <f>[189]NºAsuntos!$E$35/Población!$U$39*1000</f>
        <v>9.144439005107607</v>
      </c>
    </row>
    <row r="40" spans="2:7" ht="20.100000000000001" customHeight="1" thickBot="1" x14ac:dyDescent="0.25">
      <c r="B40" s="9" t="s">
        <v>59</v>
      </c>
      <c r="C40" s="14">
        <f>[190]NºAsuntos!$E$36/Población!$U$40*1000</f>
        <v>177.92674744326132</v>
      </c>
      <c r="D40" s="14">
        <f>[190]NºAsuntos!$E$17/Población!$U$40*1000</f>
        <v>54.225426273555243</v>
      </c>
      <c r="E40" s="14">
        <f>[190]NºAsuntos!$E$28/Población!$U$40*1000</f>
        <v>109.85416284296704</v>
      </c>
      <c r="F40" s="14">
        <f>[190]NºAsuntos!$E$31/Población!$U$40*1000</f>
        <v>5.0836901283860421</v>
      </c>
      <c r="G40" s="14">
        <f>[190]NºAsuntos!$E$35/Población!$U$40*1000</f>
        <v>8.7634681983529763</v>
      </c>
    </row>
    <row r="41" spans="2:7" ht="20.100000000000001" customHeight="1" thickBot="1" x14ac:dyDescent="0.25">
      <c r="B41" s="9" t="s">
        <v>60</v>
      </c>
      <c r="C41" s="14">
        <f>[191]NºAsuntos!$E$36/Población!$U$41*1000</f>
        <v>128.38694475794196</v>
      </c>
      <c r="D41" s="14">
        <f>[191]NºAsuntos!$E$17/Población!$U$41*1000</f>
        <v>51.677557637803922</v>
      </c>
      <c r="E41" s="14">
        <f>[191]NºAsuntos!$E$28/Población!$U$41*1000</f>
        <v>66.918223332516675</v>
      </c>
      <c r="F41" s="14">
        <f>[191]NºAsuntos!$E$31/Población!$U$41*1000</f>
        <v>2.6199914585868647</v>
      </c>
      <c r="G41" s="14">
        <f>[191]NºAsuntos!$E$35/Población!$U$41*1000</f>
        <v>7.171172329034512</v>
      </c>
    </row>
    <row r="42" spans="2:7" ht="20.100000000000001" customHeight="1" thickBot="1" x14ac:dyDescent="0.25">
      <c r="B42" s="9" t="s">
        <v>61</v>
      </c>
      <c r="C42" s="14">
        <f>[192]NºAsuntos!$E$36/Población!$U$42*1000</f>
        <v>93.56265686763048</v>
      </c>
      <c r="D42" s="14">
        <f>[192]NºAsuntos!$E$17/Población!$U$42*1000</f>
        <v>33.709153274005146</v>
      </c>
      <c r="E42" s="14">
        <f>[192]NºAsuntos!$E$28/Población!$U$42*1000</f>
        <v>52.39264216296197</v>
      </c>
      <c r="F42" s="14">
        <f>[192]NºAsuntos!$E$31/Población!$U$42*1000</f>
        <v>1.8571904606138052</v>
      </c>
      <c r="G42" s="14">
        <f>[192]NºAsuntos!$E$35/Población!$U$42*1000</f>
        <v>5.6036709700495555</v>
      </c>
    </row>
    <row r="43" spans="2:7" ht="20.100000000000001" customHeight="1" thickBot="1" x14ac:dyDescent="0.25">
      <c r="B43" s="9" t="s">
        <v>62</v>
      </c>
      <c r="C43" s="14">
        <f>[193]NºAsuntos!$E$36/Población!$U$43*1000</f>
        <v>110.24179996164484</v>
      </c>
      <c r="D43" s="14">
        <f>[193]NºAsuntos!$E$17/Población!$U$43*1000</f>
        <v>52.705825757107895</v>
      </c>
      <c r="E43" s="14">
        <f>[193]NºAsuntos!$E$28/Población!$U$43*1000</f>
        <v>43.247055917256894</v>
      </c>
      <c r="F43" s="14">
        <f>[193]NºAsuntos!$E$31/Población!$U$43*1000</f>
        <v>2.2005454232230677</v>
      </c>
      <c r="G43" s="14">
        <f>[193]NºAsuntos!$E$35/Población!$U$43*1000</f>
        <v>12.088372864057</v>
      </c>
    </row>
    <row r="44" spans="2:7" ht="20.100000000000001" customHeight="1" thickBot="1" x14ac:dyDescent="0.25">
      <c r="B44" s="9" t="s">
        <v>63</v>
      </c>
      <c r="C44" s="14">
        <f>[194]NºAsuntos!$E$36/Población!$U$44*1000</f>
        <v>113.33706050441049</v>
      </c>
      <c r="D44" s="14">
        <f>[194]NºAsuntos!$E$17/Población!$U$44*1000</f>
        <v>47.42204000496956</v>
      </c>
      <c r="E44" s="14">
        <f>[194]NºAsuntos!$E$28/Población!$U$44*1000</f>
        <v>56.491489626040504</v>
      </c>
      <c r="F44" s="14">
        <f>[194]NºAsuntos!$E$31/Población!$U$44*1000</f>
        <v>1.5840477077897877</v>
      </c>
      <c r="G44" s="14">
        <f>[194]NºAsuntos!$E$35/Población!$U$44*1000</f>
        <v>7.8394831656106341</v>
      </c>
    </row>
    <row r="45" spans="2:7" ht="20.100000000000001" customHeight="1" thickBot="1" x14ac:dyDescent="0.25">
      <c r="B45" s="9" t="s">
        <v>64</v>
      </c>
      <c r="C45" s="14">
        <f>[195]NºAsuntos!$E$36/Población!$U$45*1000</f>
        <v>189.74104030146216</v>
      </c>
      <c r="D45" s="14">
        <f>[195]NºAsuntos!$E$17/Población!$U$45*1000</f>
        <v>66.234025879904252</v>
      </c>
      <c r="E45" s="14">
        <f>[195]NºAsuntos!$E$28/Población!$U$45*1000</f>
        <v>104.57102157610723</v>
      </c>
      <c r="F45" s="14">
        <f>[195]NºAsuntos!$E$31/Población!$U$45*1000</f>
        <v>2.481243406408034</v>
      </c>
      <c r="G45" s="14">
        <f>[195]NºAsuntos!$E$35/Población!$U$45*1000</f>
        <v>16.454749439042633</v>
      </c>
    </row>
    <row r="46" spans="2:7" ht="20.100000000000001" customHeight="1" thickBot="1" x14ac:dyDescent="0.25">
      <c r="B46" s="9" t="s">
        <v>65</v>
      </c>
      <c r="C46" s="14">
        <f>[196]NºAsuntos!$E$36/Población!$U$46*1000</f>
        <v>124.58508590008114</v>
      </c>
      <c r="D46" s="14">
        <f>[196]NºAsuntos!$E$17/Población!$U$46*1000</f>
        <v>54.189982655556321</v>
      </c>
      <c r="E46" s="14">
        <f>[196]NºAsuntos!$E$28/Población!$U$46*1000</f>
        <v>58.779099680162098</v>
      </c>
      <c r="F46" s="14">
        <f>[196]NºAsuntos!$E$31/Población!$U$46*1000</f>
        <v>2.1959020436740517</v>
      </c>
      <c r="G46" s="14">
        <f>[196]NºAsuntos!$E$35/Población!$U$46*1000</f>
        <v>9.4201015206886858</v>
      </c>
    </row>
    <row r="47" spans="2:7" ht="20.100000000000001" customHeight="1" thickBot="1" x14ac:dyDescent="0.25">
      <c r="B47" s="9" t="s">
        <v>30</v>
      </c>
      <c r="C47" s="14">
        <f>[197]NºAsuntos!$E$36/Población!$U$47*1000</f>
        <v>86.51885428569625</v>
      </c>
      <c r="D47" s="14">
        <f>[197]NºAsuntos!$E$17/Población!$U$47*1000</f>
        <v>41.149249679606562</v>
      </c>
      <c r="E47" s="14">
        <f>[197]NºAsuntos!$E$28/Población!$U$47*1000</f>
        <v>36.711090347792599</v>
      </c>
      <c r="F47" s="14">
        <f>[197]NºAsuntos!$E$31/Población!$U$47*1000</f>
        <v>2.1906703956464373</v>
      </c>
      <c r="G47" s="14">
        <f>[197]NºAsuntos!$E$35/Población!$U$47*1000</f>
        <v>6.467843862650648</v>
      </c>
    </row>
    <row r="48" spans="2:7" ht="20.100000000000001" customHeight="1" thickBot="1" x14ac:dyDescent="0.25">
      <c r="B48" s="9" t="s">
        <v>66</v>
      </c>
      <c r="C48" s="14">
        <f>[198]NºAsuntos!$E$36/Población!$U$48*1000</f>
        <v>98.803764703031334</v>
      </c>
      <c r="D48" s="14">
        <f>[198]NºAsuntos!$E$17/Población!$U$48*1000</f>
        <v>44.81111356813755</v>
      </c>
      <c r="E48" s="14">
        <f>[198]NºAsuntos!$E$28/Población!$U$48*1000</f>
        <v>45.341225436887903</v>
      </c>
      <c r="F48" s="14">
        <f>[198]NºAsuntos!$E$31/Población!$U$48*1000</f>
        <v>2.6445009223946516</v>
      </c>
      <c r="G48" s="14">
        <f>[198]NºAsuntos!$E$35/Población!$U$48*1000</f>
        <v>6.0069247756112185</v>
      </c>
    </row>
    <row r="49" spans="2:7" ht="20.100000000000001" customHeight="1" thickBot="1" x14ac:dyDescent="0.25">
      <c r="B49" s="9" t="s">
        <v>67</v>
      </c>
      <c r="C49" s="14">
        <f>[199]NºAsuntos!$E$36/Población!$U$49*1000</f>
        <v>142.63739093479757</v>
      </c>
      <c r="D49" s="14">
        <f>[199]NºAsuntos!$E$17/Población!$U$49*1000</f>
        <v>54.445232883793828</v>
      </c>
      <c r="E49" s="14">
        <f>[199]NºAsuntos!$E$28/Población!$U$49*1000</f>
        <v>76.055462674603561</v>
      </c>
      <c r="F49" s="14">
        <f>[199]NºAsuntos!$E$31/Población!$U$49*1000</f>
        <v>2.6825223648404668</v>
      </c>
      <c r="G49" s="14">
        <f>[199]NºAsuntos!$E$35/Población!$U$49*1000</f>
        <v>9.4541730115597247</v>
      </c>
    </row>
    <row r="50" spans="2:7" ht="20.100000000000001" customHeight="1" thickBot="1" x14ac:dyDescent="0.25">
      <c r="B50" s="9" t="s">
        <v>68</v>
      </c>
      <c r="C50" s="14">
        <f>[200]NºAsuntos!$E$36/Población!$U$50*1000</f>
        <v>102.94588223001521</v>
      </c>
      <c r="D50" s="14">
        <f>[200]NºAsuntos!$E$17/Población!$U$50*1000</f>
        <v>41.964618067119879</v>
      </c>
      <c r="E50" s="14">
        <f>[200]NºAsuntos!$E$28/Población!$U$50*1000</f>
        <v>53.210038594910174</v>
      </c>
      <c r="F50" s="14">
        <f>[200]NºAsuntos!$E$31/Población!$U$50*1000</f>
        <v>2.2791241371653967</v>
      </c>
      <c r="G50" s="14">
        <f>[200]NºAsuntos!$E$35/Población!$U$50*1000</f>
        <v>5.4921014308197664</v>
      </c>
    </row>
    <row r="51" spans="2:7" ht="20.100000000000001" customHeight="1" thickBot="1" x14ac:dyDescent="0.25">
      <c r="B51" s="9" t="s">
        <v>69</v>
      </c>
      <c r="C51" s="14">
        <f>[201]NºAsuntos!$E$36/Población!$U$51*1000</f>
        <v>129.11934736038972</v>
      </c>
      <c r="D51" s="14">
        <f>[201]NºAsuntos!$E$17/Población!$U$51*1000</f>
        <v>49.142061657062513</v>
      </c>
      <c r="E51" s="14">
        <f>[201]NºAsuntos!$E$28/Población!$U$51*1000</f>
        <v>69.964358323693148</v>
      </c>
      <c r="F51" s="14">
        <f>[201]NºAsuntos!$E$31/Población!$U$51*1000</f>
        <v>2.6894715734077983</v>
      </c>
      <c r="G51" s="14">
        <f>[201]NºAsuntos!$E$35/Población!$U$51*1000</f>
        <v>7.3234558062262503</v>
      </c>
    </row>
    <row r="52" spans="2:7" ht="20.100000000000001" customHeight="1" thickBot="1" x14ac:dyDescent="0.25">
      <c r="B52" s="9" t="s">
        <v>70</v>
      </c>
      <c r="C52" s="14">
        <f>[202]NºAsuntos!$E$36/Población!$U$52*1000</f>
        <v>105.80351098876304</v>
      </c>
      <c r="D52" s="14">
        <f>[202]NºAsuntos!$E$17/Población!$U$52*1000</f>
        <v>41.40529807301774</v>
      </c>
      <c r="E52" s="14">
        <f>[202]NºAsuntos!$E$28/Población!$U$52*1000</f>
        <v>57.166388374926662</v>
      </c>
      <c r="F52" s="14">
        <f>[202]NºAsuntos!$E$31/Población!$U$52*1000</f>
        <v>2.0420596597319371</v>
      </c>
      <c r="G52" s="14">
        <f>[202]NºAsuntos!$E$35/Población!$U$52*1000</f>
        <v>5.1897648810866919</v>
      </c>
    </row>
    <row r="53" spans="2:7" ht="20.100000000000001" customHeight="1" thickBot="1" x14ac:dyDescent="0.25">
      <c r="B53" s="9" t="s">
        <v>71</v>
      </c>
      <c r="C53" s="14">
        <f>[203]NºAsuntos!$E$36/Población!$U$53*1000</f>
        <v>139.35381724545897</v>
      </c>
      <c r="D53" s="14">
        <f>[203]NºAsuntos!$E$17/Población!$U$53*1000</f>
        <v>49.321207361084873</v>
      </c>
      <c r="E53" s="14">
        <f>[203]NºAsuntos!$E$28/Población!$U$53*1000</f>
        <v>82.164729626278799</v>
      </c>
      <c r="F53" s="14">
        <f>[203]NºAsuntos!$E$31/Población!$U$53*1000</f>
        <v>1.1831025123529821</v>
      </c>
      <c r="G53" s="14">
        <f>[203]NºAsuntos!$E$35/Población!$U$53*1000</f>
        <v>6.6847777457423225</v>
      </c>
    </row>
    <row r="54" spans="2:7" ht="20.100000000000001" customHeight="1" thickBot="1" x14ac:dyDescent="0.25">
      <c r="B54" s="9" t="s">
        <v>72</v>
      </c>
      <c r="C54" s="14">
        <f>[204]NºAsuntos!$E$36/Población!$U$54*1000</f>
        <v>80.53706285364963</v>
      </c>
      <c r="D54" s="14">
        <f>[204]NºAsuntos!$E$17/Población!$U$54*1000</f>
        <v>27.032064232836579</v>
      </c>
      <c r="E54" s="14">
        <f>[204]NºAsuntos!$E$28/Población!$U$54*1000</f>
        <v>46.437597381781309</v>
      </c>
      <c r="F54" s="14">
        <f>[204]NºAsuntos!$E$31/Población!$U$54*1000</f>
        <v>3.1013068728240527</v>
      </c>
      <c r="G54" s="14">
        <f>[204]NºAsuntos!$E$35/Población!$U$54*1000</f>
        <v>3.9660943662076829</v>
      </c>
    </row>
    <row r="55" spans="2:7" ht="20.100000000000001" customHeight="1" thickBot="1" x14ac:dyDescent="0.25">
      <c r="B55" s="9" t="s">
        <v>73</v>
      </c>
      <c r="C55" s="14">
        <f>[205]NºAsuntos!$E$36/Población!$U$55*1000</f>
        <v>103.23756123676682</v>
      </c>
      <c r="D55" s="14">
        <f>[205]NºAsuntos!$E$17/Población!$U$55*1000</f>
        <v>46.92132334739884</v>
      </c>
      <c r="E55" s="14">
        <f>[205]NºAsuntos!$E$28/Población!$U$55*1000</f>
        <v>48.741875874296966</v>
      </c>
      <c r="F55" s="14">
        <f>[205]NºAsuntos!$E$31/Población!$U$55*1000</f>
        <v>2.1601971089913707</v>
      </c>
      <c r="G55" s="14">
        <f>[205]NºAsuntos!$E$35/Población!$U$55*1000</f>
        <v>5.4141649060796384</v>
      </c>
    </row>
    <row r="56" spans="2:7" ht="20.100000000000001" customHeight="1" thickBot="1" x14ac:dyDescent="0.25">
      <c r="B56" s="9" t="s">
        <v>74</v>
      </c>
      <c r="C56" s="14">
        <f>[206]NºAsuntos!$E$36/Población!$U$56*1000</f>
        <v>128.94776236938256</v>
      </c>
      <c r="D56" s="14">
        <f>[206]NºAsuntos!$E$17/Población!$U$56*1000</f>
        <v>54.107325805692042</v>
      </c>
      <c r="E56" s="14">
        <f>[206]NºAsuntos!$E$28/Población!$U$56*1000</f>
        <v>64.91460061969714</v>
      </c>
      <c r="F56" s="14">
        <f>[206]NºAsuntos!$E$31/Población!$U$56*1000</f>
        <v>2.5928571094418826</v>
      </c>
      <c r="G56" s="14">
        <f>[206]NºAsuntos!$E$35/Población!$U$56*1000</f>
        <v>7.3329788345514686</v>
      </c>
    </row>
    <row r="57" spans="2:7" ht="20.100000000000001" customHeight="1" thickBot="1" x14ac:dyDescent="0.25">
      <c r="B57" s="9" t="s">
        <v>75</v>
      </c>
      <c r="C57" s="14">
        <f>[207]NºAsuntos!$E$36/Población!$U$57*1000</f>
        <v>106.9799401785405</v>
      </c>
      <c r="D57" s="14">
        <f>[207]NºAsuntos!$E$17/Población!$U$57*1000</f>
        <v>50.153403163531237</v>
      </c>
      <c r="E57" s="14">
        <f>[207]NºAsuntos!$E$28/Población!$U$57*1000</f>
        <v>45.972830124762773</v>
      </c>
      <c r="F57" s="14">
        <f>[207]NºAsuntos!$E$31/Población!$U$57*1000</f>
        <v>2.6176700426911186</v>
      </c>
      <c r="G57" s="14">
        <f>[207]NºAsuntos!$E$35/Población!$U$57*1000</f>
        <v>8.2360368475553649</v>
      </c>
    </row>
    <row r="58" spans="2:7" ht="20.100000000000001" customHeight="1" thickBot="1" x14ac:dyDescent="0.25">
      <c r="B58" s="9" t="s">
        <v>76</v>
      </c>
      <c r="C58" s="14">
        <f>[208]NºAsuntos!$E$36/Población!$U$58*1000</f>
        <v>106.7410846243458</v>
      </c>
      <c r="D58" s="14">
        <f>[208]NºAsuntos!$E$17/Población!$U$58*1000</f>
        <v>46.435878265203812</v>
      </c>
      <c r="E58" s="14">
        <f>[208]NºAsuntos!$E$28/Población!$U$58*1000</f>
        <v>51.275363830786084</v>
      </c>
      <c r="F58" s="14">
        <f>[208]NºAsuntos!$E$31/Población!$U$58*1000</f>
        <v>1.9242026440398983</v>
      </c>
      <c r="G58" s="14">
        <f>[208]NºAsuntos!$E$35/Población!$U$58*1000</f>
        <v>7.1056398843160098</v>
      </c>
    </row>
    <row r="59" spans="2:7" ht="20.100000000000001" customHeight="1" thickBot="1" x14ac:dyDescent="0.25">
      <c r="B59" s="9" t="s">
        <v>77</v>
      </c>
      <c r="C59" s="14">
        <f>[209]NºAsuntos!$E$36/Población!$U$59*1000</f>
        <v>120.46423058942067</v>
      </c>
      <c r="D59" s="14">
        <f>[209]NºAsuntos!$E$17/Población!$U$59*1000</f>
        <v>43.566191524142916</v>
      </c>
      <c r="E59" s="14">
        <f>[209]NºAsuntos!$E$28/Población!$U$59*1000</f>
        <v>67.474315663117693</v>
      </c>
      <c r="F59" s="14">
        <f>[209]NºAsuntos!$E$31/Población!$U$59*1000</f>
        <v>2.2587496747669982</v>
      </c>
      <c r="G59" s="14">
        <f>[209]NºAsuntos!$E$35/Población!$U$59*1000</f>
        <v>7.1649737273930665</v>
      </c>
    </row>
    <row r="60" spans="2:7" ht="20.100000000000001" customHeight="1" thickBot="1" x14ac:dyDescent="0.25">
      <c r="B60" s="9" t="s">
        <v>78</v>
      </c>
      <c r="C60" s="14">
        <f>[210]NºAsuntos!$E$61/Población!$U$60*1000</f>
        <v>188.32938178987223</v>
      </c>
      <c r="D60" s="14">
        <f>[210]NºAsuntos!$E$21/Población!$U$60*1000</f>
        <v>42.900786769996579</v>
      </c>
      <c r="E60" s="14">
        <f>[210]NºAsuntos!$E$40/Población!$U$60*1000</f>
        <v>118.4283473111811</v>
      </c>
      <c r="F60" s="14">
        <f>[210]NºAsuntos!$E$47/Población!$U$60*1000</f>
        <v>21.515269471672742</v>
      </c>
      <c r="G60" s="14">
        <f>[210]NºAsuntos!$E$54/Población!$U$60*1000</f>
        <v>5.4849782370218341</v>
      </c>
    </row>
    <row r="61" spans="2:7" ht="20.100000000000001" customHeight="1" thickBot="1" x14ac:dyDescent="0.25">
      <c r="B61" s="9" t="s">
        <v>79</v>
      </c>
      <c r="C61" s="14">
        <f>[211]NºAsuntos!$E$61/Población!$U$61*1000</f>
        <v>160.81029518887232</v>
      </c>
      <c r="D61" s="14">
        <f>[211]NºAsuntos!$E$21/Población!$U$61*1000</f>
        <v>39.081017956455881</v>
      </c>
      <c r="E61" s="14">
        <f>[211]NºAsuntos!$E$40/Población!$U$61*1000</f>
        <v>99.587221200874126</v>
      </c>
      <c r="F61" s="14">
        <f>[211]NºAsuntos!$E$47/Población!$U$61*1000</f>
        <v>15.065848046527224</v>
      </c>
      <c r="G61" s="14">
        <f>[211]NºAsuntos!$E$54/Población!$U$61*1000</f>
        <v>7.0762079850150892</v>
      </c>
    </row>
    <row r="62" spans="2:7" ht="20.100000000000001" customHeight="1" thickBot="1" x14ac:dyDescent="0.25">
      <c r="B62" s="12" t="s">
        <v>6</v>
      </c>
      <c r="C62" s="15">
        <f>[212]NºAsuntos!$E$60/Población!$U$62*1000</f>
        <v>133.5277128872479</v>
      </c>
      <c r="D62" s="15">
        <f>[212]NºAsuntos!$E$20/Población!$U$62*1000</f>
        <v>50.698261701219884</v>
      </c>
      <c r="E62" s="15">
        <f>[212]NºAsuntos!$E$39/Población!$U$62*1000</f>
        <v>68.326027903419302</v>
      </c>
      <c r="F62" s="15">
        <f>[212]NºAsuntos!$E$46/Población!$U$62*1000</f>
        <v>5.3027239619235305</v>
      </c>
      <c r="G62" s="15">
        <f>[212]NºAsuntos!$E$53/Población!$U$62*1000</f>
        <v>9.1967653441247048</v>
      </c>
    </row>
  </sheetData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5"/>
  <dimension ref="B8:H62"/>
  <sheetViews>
    <sheetView workbookViewId="0"/>
  </sheetViews>
  <sheetFormatPr baseColWidth="10" defaultColWidth="10.710937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0.7109375" style="1"/>
  </cols>
  <sheetData>
    <row r="8" spans="2:8" ht="13.5" thickBot="1" x14ac:dyDescent="0.25"/>
    <row r="9" spans="2:8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8" ht="20.100000000000001" customHeight="1" thickBot="1" x14ac:dyDescent="0.25">
      <c r="B10" s="9" t="s">
        <v>31</v>
      </c>
      <c r="C10" s="14">
        <f>[213]NºAsuntos!$E$36/Población!$T$10*1000</f>
        <v>95.75190464677226</v>
      </c>
      <c r="D10" s="14">
        <f>[213]NºAsuntos!$E$17/Población!$T$10*1000</f>
        <v>41.467542555544696</v>
      </c>
      <c r="E10" s="14">
        <f>[213]NºAsuntos!$E$28/Población!$T$10*1000</f>
        <v>45.39000889949741</v>
      </c>
      <c r="F10" s="14">
        <f>[213]NºAsuntos!$E$31/Población!$T$10*1000</f>
        <v>2.1451389710534845</v>
      </c>
      <c r="G10" s="14">
        <f>[213]NºAsuntos!$E$35/Población!$T$10*1000</f>
        <v>6.7492142206766701</v>
      </c>
      <c r="H10" s="3"/>
    </row>
    <row r="11" spans="2:8" ht="20.100000000000001" customHeight="1" thickBot="1" x14ac:dyDescent="0.25">
      <c r="B11" s="9" t="s">
        <v>32</v>
      </c>
      <c r="C11" s="14">
        <f>[214]NºAsuntos!$E$36/Población!$T$11*1000</f>
        <v>120.22879902807182</v>
      </c>
      <c r="D11" s="14">
        <f>[214]NºAsuntos!$E$17/Población!$T$11*1000</f>
        <v>48.283708184437948</v>
      </c>
      <c r="E11" s="14">
        <f>[214]NºAsuntos!$E$28/Población!$T$11*1000</f>
        <v>63.321077278405333</v>
      </c>
      <c r="F11" s="14">
        <f>[214]NºAsuntos!$E$31/Población!$T$11*1000</f>
        <v>2.6973834836381392</v>
      </c>
      <c r="G11" s="14">
        <f>[214]NºAsuntos!$E$35/Población!$T$11*1000</f>
        <v>5.926630081590412</v>
      </c>
      <c r="H11" s="3"/>
    </row>
    <row r="12" spans="2:8" ht="20.100000000000001" customHeight="1" thickBot="1" x14ac:dyDescent="0.25">
      <c r="B12" s="9" t="s">
        <v>33</v>
      </c>
      <c r="C12" s="14">
        <f>[215]NºAsuntos!$E$36/Población!$T$12*1000</f>
        <v>130.96258493811146</v>
      </c>
      <c r="D12" s="14">
        <f>[215]NºAsuntos!$E$17/Población!$T$12*1000</f>
        <v>48.010826965911974</v>
      </c>
      <c r="E12" s="14">
        <f>[215]NºAsuntos!$E$28/Población!$T$12*1000</f>
        <v>72.110694448360448</v>
      </c>
      <c r="F12" s="14">
        <f>[215]NºAsuntos!$E$31/Población!$T$12*1000</f>
        <v>3.0464939239292863</v>
      </c>
      <c r="G12" s="14">
        <f>[215]NºAsuntos!$E$35/Población!$T$12*1000</f>
        <v>7.7945695999097753</v>
      </c>
      <c r="H12" s="3"/>
    </row>
    <row r="13" spans="2:8" ht="20.100000000000001" customHeight="1" thickBot="1" x14ac:dyDescent="0.25">
      <c r="B13" s="9" t="s">
        <v>34</v>
      </c>
      <c r="C13" s="14">
        <f>[216]NºAsuntos!$E$36/Población!$T$13*1000</f>
        <v>95.761825413235698</v>
      </c>
      <c r="D13" s="14">
        <f>[216]NºAsuntos!$E$17/Población!$T$13*1000</f>
        <v>43.731831616332386</v>
      </c>
      <c r="E13" s="14">
        <f>[216]NºAsuntos!$E$28/Población!$T$13*1000</f>
        <v>36.98140287288517</v>
      </c>
      <c r="F13" s="14">
        <f>[216]NºAsuntos!$E$31/Población!$T$13*1000</f>
        <v>6.1118746731211306</v>
      </c>
      <c r="G13" s="14">
        <f>[216]NºAsuntos!$E$35/Población!$T$13*1000</f>
        <v>8.9367162508970157</v>
      </c>
      <c r="H13" s="3"/>
    </row>
    <row r="14" spans="2:8" ht="20.100000000000001" customHeight="1" thickBot="1" x14ac:dyDescent="0.25">
      <c r="B14" s="9" t="s">
        <v>35</v>
      </c>
      <c r="C14" s="14">
        <f>[217]NºAsuntos!$E$36/Población!$T$14*1000</f>
        <v>127.71871267909174</v>
      </c>
      <c r="D14" s="14">
        <f>[217]NºAsuntos!$E$17/Población!$T$14*1000</f>
        <v>61.363839711196952</v>
      </c>
      <c r="E14" s="14">
        <f>[217]NºAsuntos!$E$28/Población!$T$14*1000</f>
        <v>52.5196354172745</v>
      </c>
      <c r="F14" s="14">
        <f>[217]NºAsuntos!$E$31/Población!$T$14*1000</f>
        <v>2.9983155749024553</v>
      </c>
      <c r="G14" s="14">
        <f>[217]NºAsuntos!$E$35/Población!$T$14*1000</f>
        <v>10.836921975717825</v>
      </c>
      <c r="H14" s="3"/>
    </row>
    <row r="15" spans="2:8" ht="20.100000000000001" customHeight="1" thickBot="1" x14ac:dyDescent="0.25">
      <c r="B15" s="9" t="s">
        <v>36</v>
      </c>
      <c r="C15" s="14">
        <f>[218]NºAsuntos!$E$36/Población!$T$15*1000</f>
        <v>100.91609988769575</v>
      </c>
      <c r="D15" s="14">
        <f>[218]NºAsuntos!$E$17/Población!$T$15*1000</f>
        <v>43.306540145616978</v>
      </c>
      <c r="E15" s="14">
        <f>[218]NºAsuntos!$E$28/Población!$T$15*1000</f>
        <v>51.205693447235923</v>
      </c>
      <c r="F15" s="14">
        <f>[218]NºAsuntos!$E$31/Población!$T$15*1000</f>
        <v>2.2965589471160519</v>
      </c>
      <c r="G15" s="14">
        <f>[218]NºAsuntos!$E$35/Población!$T$15*1000</f>
        <v>4.1073073477267847</v>
      </c>
      <c r="H15" s="3"/>
    </row>
    <row r="16" spans="2:8" ht="20.100000000000001" customHeight="1" thickBot="1" x14ac:dyDescent="0.25">
      <c r="B16" s="9" t="s">
        <v>37</v>
      </c>
      <c r="C16" s="14">
        <f>[219]NºAsuntos!$E$36/Población!$T$16*1000</f>
        <v>99.526003288111937</v>
      </c>
      <c r="D16" s="14">
        <f>[219]NºAsuntos!$E$17/Población!$T$16*1000</f>
        <v>43.212650951541747</v>
      </c>
      <c r="E16" s="14">
        <f>[219]NºAsuntos!$E$28/Población!$T$16*1000</f>
        <v>49.473961228665715</v>
      </c>
      <c r="F16" s="14">
        <f>[219]NºAsuntos!$E$31/Población!$T$16*1000</f>
        <v>1.4577690515334665</v>
      </c>
      <c r="G16" s="14">
        <f>[219]NºAsuntos!$E$35/Población!$T$16*1000</f>
        <v>5.3816220563710129</v>
      </c>
      <c r="H16" s="3"/>
    </row>
    <row r="17" spans="2:8" ht="20.100000000000001" customHeight="1" thickBot="1" x14ac:dyDescent="0.25">
      <c r="B17" s="9" t="s">
        <v>29</v>
      </c>
      <c r="C17" s="14">
        <f>[220]NºAsuntos!$E$36/Población!$T$17*1000</f>
        <v>126.87304899956418</v>
      </c>
      <c r="D17" s="14">
        <f>[220]NºAsuntos!$E$17/Población!$T$17*1000</f>
        <v>52.687198602543347</v>
      </c>
      <c r="E17" s="14">
        <f>[220]NºAsuntos!$E$28/Población!$T$17*1000</f>
        <v>66.065613849844269</v>
      </c>
      <c r="F17" s="14">
        <f>[220]NºAsuntos!$E$31/Población!$T$17*1000</f>
        <v>1.9496717181559524</v>
      </c>
      <c r="G17" s="14">
        <f>[220]NºAsuntos!$E$35/Población!$T$17*1000</f>
        <v>6.170564829020611</v>
      </c>
      <c r="H17" s="3"/>
    </row>
    <row r="18" spans="2:8" ht="20.100000000000001" customHeight="1" thickBot="1" x14ac:dyDescent="0.25">
      <c r="B18" s="9" t="s">
        <v>38</v>
      </c>
      <c r="C18" s="14">
        <f>[221]NºAsuntos!$E$36/Población!$T$18*1000</f>
        <v>114.96251793879861</v>
      </c>
      <c r="D18" s="14">
        <f>[221]NºAsuntos!$E$17/Población!$T$18*1000</f>
        <v>47.54561580218742</v>
      </c>
      <c r="E18" s="14">
        <f>[221]NºAsuntos!$E$28/Población!$T$18*1000</f>
        <v>58.79379963810424</v>
      </c>
      <c r="F18" s="14">
        <f>[221]NºAsuntos!$E$31/Población!$T$18*1000</f>
        <v>1.4998172693805878</v>
      </c>
      <c r="G18" s="14">
        <f>[221]NºAsuntos!$E$35/Población!$T$18*1000</f>
        <v>7.1232852291263686</v>
      </c>
      <c r="H18" s="3"/>
    </row>
    <row r="19" spans="2:8" ht="20.100000000000001" customHeight="1" thickBot="1" x14ac:dyDescent="0.25">
      <c r="B19" s="9" t="s">
        <v>39</v>
      </c>
      <c r="C19" s="14">
        <f>[222]NºAsuntos!$E$36/Población!$T$19*1000</f>
        <v>92.996169195600658</v>
      </c>
      <c r="D19" s="14">
        <f>[222]NºAsuntos!$E$17/Población!$T$19*1000</f>
        <v>43.030441151398541</v>
      </c>
      <c r="E19" s="14">
        <f>[222]NºAsuntos!$E$28/Población!$T$19*1000</f>
        <v>38.124506362057993</v>
      </c>
      <c r="F19" s="14">
        <f>[222]NºAsuntos!$E$31/Población!$T$19*1000</f>
        <v>1.9093132735110836</v>
      </c>
      <c r="G19" s="14">
        <f>[222]NºAsuntos!$E$35/Población!$T$19*1000</f>
        <v>9.9319084086330545</v>
      </c>
      <c r="H19" s="3"/>
    </row>
    <row r="20" spans="2:8" ht="20.100000000000001" customHeight="1" thickBot="1" x14ac:dyDescent="0.25">
      <c r="B20" s="9" t="s">
        <v>40</v>
      </c>
      <c r="C20" s="14">
        <f>[223]NºAsuntos!$E$36/Población!$T$20*1000</f>
        <v>109.6395664715602</v>
      </c>
      <c r="D20" s="14">
        <f>[223]NºAsuntos!$E$17/Población!$T$20*1000</f>
        <v>48.808356904808576</v>
      </c>
      <c r="E20" s="14">
        <f>[223]NºAsuntos!$E$28/Población!$T$20*1000</f>
        <v>50.429887697090201</v>
      </c>
      <c r="F20" s="14">
        <f>[223]NºAsuntos!$E$31/Población!$T$20*1000</f>
        <v>2.6521410367715013</v>
      </c>
      <c r="G20" s="14">
        <f>[223]NºAsuntos!$E$35/Población!$T$20*1000</f>
        <v>7.749180832889909</v>
      </c>
      <c r="H20" s="3"/>
    </row>
    <row r="21" spans="2:8" ht="20.100000000000001" customHeight="1" thickBot="1" x14ac:dyDescent="0.25">
      <c r="B21" s="9" t="s">
        <v>41</v>
      </c>
      <c r="C21" s="14">
        <f>[224]NºAsuntos!$E$36/Población!$T$21*1000</f>
        <v>93.670158164075985</v>
      </c>
      <c r="D21" s="14">
        <f>[224]NºAsuntos!$E$17/Población!$T$21*1000</f>
        <v>43.698784575534631</v>
      </c>
      <c r="E21" s="14">
        <f>[224]NºAsuntos!$E$28/Población!$T$21*1000</f>
        <v>44.75808790704361</v>
      </c>
      <c r="F21" s="14">
        <f>[224]NºAsuntos!$E$31/Población!$T$21*1000</f>
        <v>1.0744362362448201</v>
      </c>
      <c r="G21" s="14">
        <f>[224]NºAsuntos!$E$35/Población!$T$21*1000</f>
        <v>4.1388494452529336</v>
      </c>
      <c r="H21" s="3"/>
    </row>
    <row r="22" spans="2:8" ht="20.100000000000001" customHeight="1" thickBot="1" x14ac:dyDescent="0.25">
      <c r="B22" s="9" t="s">
        <v>42</v>
      </c>
      <c r="C22" s="14">
        <f>[225]NºAsuntos!$E$36/Población!$T$22*1000</f>
        <v>133.96231898565773</v>
      </c>
      <c r="D22" s="14">
        <f>[225]NºAsuntos!$E$17/Población!$T$22*1000</f>
        <v>50.801072725423303</v>
      </c>
      <c r="E22" s="14">
        <f>[225]NºAsuntos!$E$28/Población!$T$22*1000</f>
        <v>70.192150891973455</v>
      </c>
      <c r="F22" s="14">
        <f>[225]NºAsuntos!$E$31/Población!$T$22*1000</f>
        <v>7.2365372475002303</v>
      </c>
      <c r="G22" s="14">
        <f>[225]NºAsuntos!$E$35/Población!$T$22*1000</f>
        <v>5.732558120760725</v>
      </c>
      <c r="H22" s="3"/>
    </row>
    <row r="23" spans="2:8" ht="20.100000000000001" customHeight="1" thickBot="1" x14ac:dyDescent="0.25">
      <c r="B23" s="9" t="s">
        <v>5</v>
      </c>
      <c r="C23" s="14">
        <f>[226]NºAsuntos!$E$36/Población!$T$23*1000</f>
        <v>123.9717421914451</v>
      </c>
      <c r="D23" s="14">
        <f>[226]NºAsuntos!$E$17/Población!$T$23*1000</f>
        <v>58.046047336482665</v>
      </c>
      <c r="E23" s="14">
        <f>[226]NºAsuntos!$E$28/Población!$T$23*1000</f>
        <v>55.784871145702816</v>
      </c>
      <c r="F23" s="14">
        <f>[226]NºAsuntos!$E$31/Población!$T$23*1000</f>
        <v>2.0595316676691442</v>
      </c>
      <c r="G23" s="14">
        <f>[226]NºAsuntos!$E$35/Población!$T$23*1000</f>
        <v>8.0812920415904763</v>
      </c>
      <c r="H23" s="3"/>
    </row>
    <row r="24" spans="2:8" ht="20.100000000000001" customHeight="1" thickBot="1" x14ac:dyDescent="0.25">
      <c r="B24" s="9" t="s">
        <v>43</v>
      </c>
      <c r="C24" s="14">
        <f>[227]NºAsuntos!$E$36/Población!$T$24*1000</f>
        <v>111.95566633963024</v>
      </c>
      <c r="D24" s="14">
        <f>[227]NºAsuntos!$E$17/Población!$T$24*1000</f>
        <v>44.583271219522338</v>
      </c>
      <c r="E24" s="14">
        <f>[227]NºAsuntos!$E$28/Población!$T$24*1000</f>
        <v>56.890472839219413</v>
      </c>
      <c r="F24" s="14">
        <f>[227]NºAsuntos!$E$31/Población!$T$24*1000</f>
        <v>3.5222864353837244</v>
      </c>
      <c r="G24" s="14">
        <f>[227]NºAsuntos!$E$35/Población!$T$24*1000</f>
        <v>6.9596358455047511</v>
      </c>
      <c r="H24" s="3"/>
    </row>
    <row r="25" spans="2:8" ht="20.100000000000001" customHeight="1" thickBot="1" x14ac:dyDescent="0.25">
      <c r="B25" s="9" t="s">
        <v>44</v>
      </c>
      <c r="C25" s="14">
        <f>[228]NºAsuntos!$E$36/Población!$T$25*1000</f>
        <v>103.2658785814466</v>
      </c>
      <c r="D25" s="14">
        <f>[228]NºAsuntos!$E$17/Población!$T$25*1000</f>
        <v>41.039871769184536</v>
      </c>
      <c r="E25" s="14">
        <f>[228]NºAsuntos!$E$28/Población!$T$25*1000</f>
        <v>54.842716890402727</v>
      </c>
      <c r="F25" s="14">
        <f>[228]NºAsuntos!$E$31/Población!$T$25*1000</f>
        <v>1.7571628932077741</v>
      </c>
      <c r="G25" s="14">
        <f>[228]NºAsuntos!$E$35/Población!$T$25*1000</f>
        <v>5.626127028651573</v>
      </c>
      <c r="H25" s="3"/>
    </row>
    <row r="26" spans="2:8" ht="20.100000000000001" customHeight="1" thickBot="1" x14ac:dyDescent="0.25">
      <c r="B26" s="9" t="s">
        <v>45</v>
      </c>
      <c r="C26" s="14">
        <f>[229]NºAsuntos!$E$36/Población!$T$26*1000</f>
        <v>120.34919260353523</v>
      </c>
      <c r="D26" s="14">
        <f>[229]NºAsuntos!$E$17/Población!$T$26*1000</f>
        <v>42.092863328409152</v>
      </c>
      <c r="E26" s="14">
        <f>[229]NºAsuntos!$E$28/Población!$T$26*1000</f>
        <v>70.370842035556009</v>
      </c>
      <c r="F26" s="14">
        <f>[229]NºAsuntos!$E$31/Población!$T$26*1000</f>
        <v>2.2222505221333608</v>
      </c>
      <c r="G26" s="14">
        <f>[229]NºAsuntos!$E$35/Población!$T$26*1000</f>
        <v>5.6632367174367078</v>
      </c>
      <c r="H26" s="3"/>
    </row>
    <row r="27" spans="2:8" ht="20.100000000000001" customHeight="1" thickBot="1" x14ac:dyDescent="0.25">
      <c r="B27" s="9" t="s">
        <v>46</v>
      </c>
      <c r="C27" s="14">
        <f>[230]NºAsuntos!$E$36/Población!$T$27*1000</f>
        <v>99.4281507766554</v>
      </c>
      <c r="D27" s="14">
        <f>[230]NºAsuntos!$E$17/Población!$T$27*1000</f>
        <v>44.49185286831387</v>
      </c>
      <c r="E27" s="14">
        <f>[230]NºAsuntos!$E$28/Población!$T$27*1000</f>
        <v>43.687815528819826</v>
      </c>
      <c r="F27" s="14">
        <f>[230]NºAsuntos!$E$31/Población!$T$27*1000</f>
        <v>2.0985374560794603</v>
      </c>
      <c r="G27" s="14">
        <f>[230]NºAsuntos!$E$35/Población!$T$27*1000</f>
        <v>9.149944923442245</v>
      </c>
      <c r="H27" s="3"/>
    </row>
    <row r="28" spans="2:8" ht="20.100000000000001" customHeight="1" thickBot="1" x14ac:dyDescent="0.25">
      <c r="B28" s="9" t="s">
        <v>47</v>
      </c>
      <c r="C28" s="14">
        <f>[231]NºAsuntos!$E$36/Población!$T$28*1000</f>
        <v>99.349971098558996</v>
      </c>
      <c r="D28" s="14">
        <f>[231]NºAsuntos!$E$17/Población!$T$28*1000</f>
        <v>39.067649653689749</v>
      </c>
      <c r="E28" s="14">
        <f>[231]NºAsuntos!$E$28/Población!$T$28*1000</f>
        <v>52.022593828274736</v>
      </c>
      <c r="F28" s="14">
        <f>[231]NºAsuntos!$E$31/Población!$T$28*1000</f>
        <v>2.1549320055571894</v>
      </c>
      <c r="G28" s="14">
        <f>[231]NºAsuntos!$E$35/Población!$T$28*1000</f>
        <v>6.1047956110373081</v>
      </c>
    </row>
    <row r="29" spans="2:8" ht="20.100000000000001" customHeight="1" thickBot="1" x14ac:dyDescent="0.25">
      <c r="B29" s="9" t="s">
        <v>48</v>
      </c>
      <c r="C29" s="14">
        <f>[232]NºAsuntos!$E$36/Población!$T$10*1000</f>
        <v>146.48418410127937</v>
      </c>
      <c r="D29" s="14">
        <f>[232]NºAsuntos!$E$17/Población!$T$10*1000</f>
        <v>52.504462609250332</v>
      </c>
      <c r="E29" s="14">
        <f>[232]NºAsuntos!$E$28/Población!$T$10*1000</f>
        <v>78.541922805862356</v>
      </c>
      <c r="F29" s="14">
        <f>[232]NºAsuntos!$E$31/Población!$T$10*1000</f>
        <v>5.1365018287695543</v>
      </c>
      <c r="G29" s="14">
        <f>[232]NºAsuntos!$E$35/Población!$T$10*1000</f>
        <v>10.301296857397128</v>
      </c>
    </row>
    <row r="30" spans="2:8" ht="20.100000000000001" customHeight="1" thickBot="1" x14ac:dyDescent="0.25">
      <c r="B30" s="9" t="s">
        <v>49</v>
      </c>
      <c r="C30" s="14">
        <f>[233]NºAsuntos!$E$36/Población!$T$30*1000</f>
        <v>115.55265654960253</v>
      </c>
      <c r="D30" s="14">
        <f>[233]NºAsuntos!$E$17/Población!$T$30*1000</f>
        <v>42.831063052942</v>
      </c>
      <c r="E30" s="14">
        <f>[233]NºAsuntos!$E$28/Población!$T$30*1000</f>
        <v>66.50725050430016</v>
      </c>
      <c r="F30" s="14">
        <f>[233]NºAsuntos!$E$31/Población!$T$30*1000</f>
        <v>1.6457837618627016</v>
      </c>
      <c r="G30" s="14">
        <f>[233]NºAsuntos!$E$35/Población!$T$30*1000</f>
        <v>4.5685592304976588</v>
      </c>
    </row>
    <row r="31" spans="2:8" ht="20.100000000000001" customHeight="1" thickBot="1" x14ac:dyDescent="0.25">
      <c r="B31" s="9" t="s">
        <v>50</v>
      </c>
      <c r="C31" s="14">
        <f>[234]NºAsuntos!$E$36/Población!$T$31*1000</f>
        <v>137.10166378861388</v>
      </c>
      <c r="D31" s="14">
        <f>[234]NºAsuntos!$E$17/Población!$T$31*1000</f>
        <v>48.570567113450096</v>
      </c>
      <c r="E31" s="14">
        <f>[234]NºAsuntos!$E$28/Población!$T$31*1000</f>
        <v>74.458789025025354</v>
      </c>
      <c r="F31" s="14">
        <f>[234]NºAsuntos!$E$31/Población!$T$31*1000</f>
        <v>5.810925636597867</v>
      </c>
      <c r="G31" s="14">
        <f>[234]NºAsuntos!$E$35/Población!$T$31*1000</f>
        <v>8.2613820135405529</v>
      </c>
    </row>
    <row r="32" spans="2:8" ht="20.100000000000001" customHeight="1" thickBot="1" x14ac:dyDescent="0.25">
      <c r="B32" s="9" t="s">
        <v>51</v>
      </c>
      <c r="C32" s="14">
        <f>[235]NºAsuntos!$E$36/Población!$T$32*1000</f>
        <v>101.06249115246079</v>
      </c>
      <c r="D32" s="14">
        <f>[235]NºAsuntos!$E$17/Población!$T$32*1000</f>
        <v>45.484215990059297</v>
      </c>
      <c r="E32" s="14">
        <f>[235]NºAsuntos!$E$28/Población!$T$32*1000</f>
        <v>46.876228824889502</v>
      </c>
      <c r="F32" s="14">
        <f>[235]NºAsuntos!$E$31/Población!$T$32*1000</f>
        <v>2.2531733173946553</v>
      </c>
      <c r="G32" s="14">
        <f>[235]NºAsuntos!$E$35/Población!$T$32*1000</f>
        <v>6.4488730201173379</v>
      </c>
    </row>
    <row r="33" spans="2:7" ht="20.100000000000001" customHeight="1" thickBot="1" x14ac:dyDescent="0.25">
      <c r="B33" s="9" t="s">
        <v>52</v>
      </c>
      <c r="C33" s="14">
        <f>[236]NºAsuntos!$E$36/Población!$T$33*1000</f>
        <v>129.56694336951753</v>
      </c>
      <c r="D33" s="14">
        <f>[236]NºAsuntos!$E$17/Población!$T$33*1000</f>
        <v>50.923966980297422</v>
      </c>
      <c r="E33" s="14">
        <f>[236]NºAsuntos!$E$28/Población!$T$33*1000</f>
        <v>69.076340752252221</v>
      </c>
      <c r="F33" s="14">
        <f>[236]NºAsuntos!$E$31/Población!$T$33*1000</f>
        <v>3.098482109198895</v>
      </c>
      <c r="G33" s="14">
        <f>[236]NºAsuntos!$E$35/Población!$T$33*1000</f>
        <v>6.4681535277690161</v>
      </c>
    </row>
    <row r="34" spans="2:7" ht="20.100000000000001" customHeight="1" thickBot="1" x14ac:dyDescent="0.25">
      <c r="B34" s="9" t="s">
        <v>53</v>
      </c>
      <c r="C34" s="14">
        <f>[237]NºAsuntos!$E$36/Población!$T$34*1000</f>
        <v>93.615081264674373</v>
      </c>
      <c r="D34" s="14">
        <f>[237]NºAsuntos!$E$17/Población!$T$34*1000</f>
        <v>36.581640794182682</v>
      </c>
      <c r="E34" s="14">
        <f>[237]NºAsuntos!$E$28/Población!$T$34*1000</f>
        <v>50.919783902072083</v>
      </c>
      <c r="F34" s="14">
        <f>[237]NºAsuntos!$E$31/Población!$T$34*1000</f>
        <v>2.0880348309740366</v>
      </c>
      <c r="G34" s="14">
        <f>[237]NºAsuntos!$E$35/Población!$T$34*1000</f>
        <v>4.0256217374455767</v>
      </c>
    </row>
    <row r="35" spans="2:7" ht="20.100000000000001" customHeight="1" thickBot="1" x14ac:dyDescent="0.25">
      <c r="B35" s="9" t="s">
        <v>54</v>
      </c>
      <c r="C35" s="14">
        <f>[238]NºAsuntos!$E$36/Población!$T$35*1000</f>
        <v>112.08135414724048</v>
      </c>
      <c r="D35" s="14">
        <f>[238]NºAsuntos!$E$17/Población!$T$35*1000</f>
        <v>42.639151605001729</v>
      </c>
      <c r="E35" s="14">
        <f>[238]NºAsuntos!$E$28/Población!$T$35*1000</f>
        <v>61.528070095706155</v>
      </c>
      <c r="F35" s="14">
        <f>[238]NºAsuntos!$E$31/Población!$T$35*1000</f>
        <v>3.2706523595868355</v>
      </c>
      <c r="G35" s="14">
        <f>[238]NºAsuntos!$E$35/Población!$T$35*1000</f>
        <v>4.6434800869457566</v>
      </c>
    </row>
    <row r="36" spans="2:7" ht="20.100000000000001" customHeight="1" thickBot="1" x14ac:dyDescent="0.25">
      <c r="B36" s="9" t="s">
        <v>55</v>
      </c>
      <c r="C36" s="14">
        <f>[239]NºAsuntos!$E$36/Población!$T$36*1000</f>
        <v>107.87370672738956</v>
      </c>
      <c r="D36" s="14">
        <f>[239]NºAsuntos!$E$17/Población!$T$36*1000</f>
        <v>47.827905793257521</v>
      </c>
      <c r="E36" s="14">
        <f>[239]NºAsuntos!$E$28/Población!$T$36*1000</f>
        <v>48.388557529337177</v>
      </c>
      <c r="F36" s="14">
        <f>[239]NºAsuntos!$E$31/Población!$T$36*1000</f>
        <v>2.3116102349130774</v>
      </c>
      <c r="G36" s="14">
        <f>[239]NºAsuntos!$E$35/Población!$T$36*1000</f>
        <v>9.345633169881788</v>
      </c>
    </row>
    <row r="37" spans="2:7" ht="20.100000000000001" customHeight="1" thickBot="1" x14ac:dyDescent="0.25">
      <c r="B37" s="9" t="s">
        <v>56</v>
      </c>
      <c r="C37" s="14">
        <f>[240]NºAsuntos!$E$36/Población!$T$37*1000</f>
        <v>105.31434670313678</v>
      </c>
      <c r="D37" s="14">
        <f>[240]NºAsuntos!$E$17/Población!$T$37*1000</f>
        <v>42.271742294382094</v>
      </c>
      <c r="E37" s="14">
        <f>[240]NºAsuntos!$E$28/Población!$T$37*1000</f>
        <v>57.863172436735617</v>
      </c>
      <c r="F37" s="14">
        <f>[240]NºAsuntos!$E$31/Población!$T$37*1000</f>
        <v>1.2451890423364274</v>
      </c>
      <c r="G37" s="14">
        <f>[240]NºAsuntos!$E$35/Población!$T$37*1000</f>
        <v>3.9342429296826271</v>
      </c>
    </row>
    <row r="38" spans="2:7" ht="20.100000000000001" customHeight="1" thickBot="1" x14ac:dyDescent="0.25">
      <c r="B38" s="9" t="s">
        <v>57</v>
      </c>
      <c r="C38" s="14">
        <f>[241]NºAsuntos!$E$36/Población!$T$38*1000</f>
        <v>96.777503795344174</v>
      </c>
      <c r="D38" s="14">
        <f>[241]NºAsuntos!$E$17/Población!$T$38*1000</f>
        <v>41.846876348743088</v>
      </c>
      <c r="E38" s="14">
        <f>[241]NºAsuntos!$E$28/Población!$T$38*1000</f>
        <v>43.473668007738581</v>
      </c>
      <c r="F38" s="14">
        <f>[241]NºAsuntos!$E$31/Población!$T$38*1000</f>
        <v>2.0402804480166119</v>
      </c>
      <c r="G38" s="14">
        <f>[241]NºAsuntos!$E$35/Población!$T$38*1000</f>
        <v>9.4166789908459005</v>
      </c>
    </row>
    <row r="39" spans="2:7" ht="20.100000000000001" customHeight="1" thickBot="1" x14ac:dyDescent="0.25">
      <c r="B39" s="9" t="s">
        <v>58</v>
      </c>
      <c r="C39" s="14">
        <f>[242]NºAsuntos!$E$36/Población!$T$39*1000</f>
        <v>119.81932719263482</v>
      </c>
      <c r="D39" s="14">
        <f>[242]NºAsuntos!$E$17/Población!$T$39*1000</f>
        <v>49.878999628919019</v>
      </c>
      <c r="E39" s="14">
        <f>[242]NºAsuntos!$E$28/Población!$T$39*1000</f>
        <v>58.276436023343592</v>
      </c>
      <c r="F39" s="14">
        <f>[242]NºAsuntos!$E$31/Población!$T$39*1000</f>
        <v>2.9143766744060082</v>
      </c>
      <c r="G39" s="14">
        <f>[242]NºAsuntos!$E$35/Población!$T$39*1000</f>
        <v>8.749514865966189</v>
      </c>
    </row>
    <row r="40" spans="2:7" ht="20.100000000000001" customHeight="1" thickBot="1" x14ac:dyDescent="0.25">
      <c r="B40" s="9" t="s">
        <v>59</v>
      </c>
      <c r="C40" s="14">
        <f>[243]NºAsuntos!$E$36/Población!$T$40*1000</f>
        <v>180.07691084325896</v>
      </c>
      <c r="D40" s="14">
        <f>[243]NºAsuntos!$E$17/Población!$T$40*1000</f>
        <v>54.903934566677293</v>
      </c>
      <c r="E40" s="14">
        <f>[243]NºAsuntos!$E$28/Población!$T$40*1000</f>
        <v>112.8106946410411</v>
      </c>
      <c r="F40" s="14">
        <f>[243]NºAsuntos!$E$31/Población!$T$40*1000</f>
        <v>4.3122962901577644</v>
      </c>
      <c r="G40" s="14">
        <f>[243]NºAsuntos!$E$35/Población!$T$40*1000</f>
        <v>8.0499853453828205</v>
      </c>
    </row>
    <row r="41" spans="2:7" ht="20.100000000000001" customHeight="1" thickBot="1" x14ac:dyDescent="0.25">
      <c r="B41" s="9" t="s">
        <v>60</v>
      </c>
      <c r="C41" s="14">
        <f>[244]NºAsuntos!$E$36/Población!$T$41*1000</f>
        <v>123.34250248053952</v>
      </c>
      <c r="D41" s="14">
        <f>[244]NºAsuntos!$E$17/Población!$T$41*1000</f>
        <v>46.780912392146412</v>
      </c>
      <c r="E41" s="14">
        <f>[244]NºAsuntos!$E$28/Población!$T$41*1000</f>
        <v>67.614062545442735</v>
      </c>
      <c r="F41" s="14">
        <f>[244]NºAsuntos!$E$31/Población!$T$41*1000</f>
        <v>2.4754668385515406</v>
      </c>
      <c r="G41" s="14">
        <f>[244]NºAsuntos!$E$35/Población!$T$41*1000</f>
        <v>6.4720607043988228</v>
      </c>
    </row>
    <row r="42" spans="2:7" ht="20.100000000000001" customHeight="1" thickBot="1" x14ac:dyDescent="0.25">
      <c r="B42" s="9" t="s">
        <v>61</v>
      </c>
      <c r="C42" s="14">
        <f>[245]NºAsuntos!$E$36/Población!$T$42*1000</f>
        <v>88.440500714998294</v>
      </c>
      <c r="D42" s="14">
        <f>[245]NºAsuntos!$E$17/Población!$T$42*1000</f>
        <v>31.416684940560941</v>
      </c>
      <c r="E42" s="14">
        <f>[245]NºAsuntos!$E$28/Población!$T$42*1000</f>
        <v>49.906262643733186</v>
      </c>
      <c r="F42" s="14">
        <f>[245]NºAsuntos!$E$31/Población!$T$42*1000</f>
        <v>1.692522940171785</v>
      </c>
      <c r="G42" s="14">
        <f>[245]NºAsuntos!$E$35/Población!$T$42*1000</f>
        <v>5.4250301905323726</v>
      </c>
    </row>
    <row r="43" spans="2:7" ht="20.100000000000001" customHeight="1" thickBot="1" x14ac:dyDescent="0.25">
      <c r="B43" s="9" t="s">
        <v>62</v>
      </c>
      <c r="C43" s="14">
        <f>[246]NºAsuntos!$E$36/Población!$T$43*1000</f>
        <v>100.54543749777719</v>
      </c>
      <c r="D43" s="14">
        <f>[246]NºAsuntos!$E$17/Población!$T$43*1000</f>
        <v>43.599434840103079</v>
      </c>
      <c r="E43" s="14">
        <f>[246]NºAsuntos!$E$28/Población!$T$43*1000</f>
        <v>43.350479965598964</v>
      </c>
      <c r="F43" s="14">
        <f>[246]NºAsuntos!$E$31/Población!$T$43*1000</f>
        <v>1.9690067347143325</v>
      </c>
      <c r="G43" s="14">
        <f>[246]NºAsuntos!$E$35/Población!$T$43*1000</f>
        <v>11.626515957360819</v>
      </c>
    </row>
    <row r="44" spans="2:7" ht="20.100000000000001" customHeight="1" thickBot="1" x14ac:dyDescent="0.25">
      <c r="B44" s="9" t="s">
        <v>63</v>
      </c>
      <c r="C44" s="14">
        <f>[247]NºAsuntos!$E$36/Población!$T$44*1000</f>
        <v>115.91322862344555</v>
      </c>
      <c r="D44" s="14">
        <f>[247]NºAsuntos!$E$17/Población!$T$44*1000</f>
        <v>50.229888604313885</v>
      </c>
      <c r="E44" s="14">
        <f>[247]NºAsuntos!$E$28/Población!$T$44*1000</f>
        <v>56.339679698830494</v>
      </c>
      <c r="F44" s="14">
        <f>[247]NºAsuntos!$E$31/Población!$T$44*1000</f>
        <v>2.3328293269972535</v>
      </c>
      <c r="G44" s="14">
        <f>[247]NºAsuntos!$E$35/Población!$T$44*1000</f>
        <v>7.0108309933039159</v>
      </c>
    </row>
    <row r="45" spans="2:7" ht="20.100000000000001" customHeight="1" thickBot="1" x14ac:dyDescent="0.25">
      <c r="B45" s="9" t="s">
        <v>64</v>
      </c>
      <c r="C45" s="14">
        <f>[248]NºAsuntos!$E$36/Población!$T$45*1000</f>
        <v>182.91162350395564</v>
      </c>
      <c r="D45" s="14">
        <f>[248]NºAsuntos!$E$17/Población!$T$45*1000</f>
        <v>61.107579958076947</v>
      </c>
      <c r="E45" s="14">
        <f>[248]NºAsuntos!$E$28/Población!$T$45*1000</f>
        <v>105.65059616381545</v>
      </c>
      <c r="F45" s="14">
        <f>[248]NºAsuntos!$E$31/Población!$T$45*1000</f>
        <v>2.4315369531408479</v>
      </c>
      <c r="G45" s="14">
        <f>[248]NºAsuntos!$E$35/Población!$T$45*1000</f>
        <v>13.721910428922397</v>
      </c>
    </row>
    <row r="46" spans="2:7" ht="20.100000000000001" customHeight="1" thickBot="1" x14ac:dyDescent="0.25">
      <c r="B46" s="9" t="s">
        <v>65</v>
      </c>
      <c r="C46" s="14">
        <f>[249]NºAsuntos!$E$36/Población!$T$46*1000</f>
        <v>112.0653406557001</v>
      </c>
      <c r="D46" s="14">
        <f>[249]NºAsuntos!$E$17/Población!$T$46*1000</f>
        <v>46.634429564692944</v>
      </c>
      <c r="E46" s="14">
        <f>[249]NºAsuntos!$E$28/Población!$T$46*1000</f>
        <v>54.196769494102604</v>
      </c>
      <c r="F46" s="14">
        <f>[249]NºAsuntos!$E$31/Población!$T$46*1000</f>
        <v>2.4602557731595329</v>
      </c>
      <c r="G46" s="14">
        <f>[249]NºAsuntos!$E$35/Población!$T$46*1000</f>
        <v>8.7738858237450259</v>
      </c>
    </row>
    <row r="47" spans="2:7" ht="20.100000000000001" customHeight="1" thickBot="1" x14ac:dyDescent="0.25">
      <c r="B47" s="9" t="s">
        <v>30</v>
      </c>
      <c r="C47" s="14">
        <f>[250]NºAsuntos!$E$36/Población!$T$47*1000</f>
        <v>85.835115229270599</v>
      </c>
      <c r="D47" s="14">
        <f>[250]NºAsuntos!$E$17/Población!$T$47*1000</f>
        <v>40.392809059950899</v>
      </c>
      <c r="E47" s="14">
        <f>[250]NºAsuntos!$E$28/Población!$T$47*1000</f>
        <v>35.999049655500116</v>
      </c>
      <c r="F47" s="14">
        <f>[250]NºAsuntos!$E$31/Población!$T$47*1000</f>
        <v>2.4772313296903459</v>
      </c>
      <c r="G47" s="14">
        <f>[250]NºAsuntos!$E$35/Población!$T$47*1000</f>
        <v>6.9660251841292471</v>
      </c>
    </row>
    <row r="48" spans="2:7" ht="20.100000000000001" customHeight="1" thickBot="1" x14ac:dyDescent="0.25">
      <c r="B48" s="9" t="s">
        <v>66</v>
      </c>
      <c r="C48" s="14">
        <f>[251]NºAsuntos!$E$36/Población!$T$48*1000</f>
        <v>98.647551987643041</v>
      </c>
      <c r="D48" s="14">
        <f>[251]NºAsuntos!$E$17/Población!$T$48*1000</f>
        <v>44.407840155910137</v>
      </c>
      <c r="E48" s="14">
        <f>[251]NºAsuntos!$E$28/Población!$T$48*1000</f>
        <v>46.326548466994289</v>
      </c>
      <c r="F48" s="14">
        <f>[251]NºAsuntos!$E$31/Población!$T$48*1000</f>
        <v>2.2988297689404567</v>
      </c>
      <c r="G48" s="14">
        <f>[251]NºAsuntos!$E$35/Población!$T$48*1000</f>
        <v>5.6143335957981497</v>
      </c>
    </row>
    <row r="49" spans="2:7" ht="20.100000000000001" customHeight="1" thickBot="1" x14ac:dyDescent="0.25">
      <c r="B49" s="9" t="s">
        <v>67</v>
      </c>
      <c r="C49" s="14">
        <f>[252]NºAsuntos!$E$36/Población!$T$49*1000</f>
        <v>136.12532032086085</v>
      </c>
      <c r="D49" s="14">
        <f>[252]NºAsuntos!$E$17/Población!$T$49*1000</f>
        <v>49.668633592208224</v>
      </c>
      <c r="E49" s="14">
        <f>[252]NºAsuntos!$E$28/Población!$T$49*1000</f>
        <v>75.882416471119583</v>
      </c>
      <c r="F49" s="14">
        <f>[252]NºAsuntos!$E$31/Población!$T$49*1000</f>
        <v>2.3701289138054609</v>
      </c>
      <c r="G49" s="14">
        <f>[252]NºAsuntos!$E$35/Población!$T$49*1000</f>
        <v>8.204141343727601</v>
      </c>
    </row>
    <row r="50" spans="2:7" ht="20.100000000000001" customHeight="1" thickBot="1" x14ac:dyDescent="0.25">
      <c r="B50" s="9" t="s">
        <v>68</v>
      </c>
      <c r="C50" s="14">
        <f>[253]NºAsuntos!$E$36/Población!$T$50*1000</f>
        <v>102.41160282244917</v>
      </c>
      <c r="D50" s="14">
        <f>[253]NºAsuntos!$E$17/Población!$T$50*1000</f>
        <v>41.358531909066009</v>
      </c>
      <c r="E50" s="14">
        <f>[253]NºAsuntos!$E$28/Población!$T$50*1000</f>
        <v>52.640502928095373</v>
      </c>
      <c r="F50" s="14">
        <f>[253]NºAsuntos!$E$31/Población!$T$50*1000</f>
        <v>3.2672066361466525</v>
      </c>
      <c r="G50" s="14">
        <f>[253]NºAsuntos!$E$35/Población!$T$50*1000</f>
        <v>5.1453613491411359</v>
      </c>
    </row>
    <row r="51" spans="2:7" ht="20.100000000000001" customHeight="1" thickBot="1" x14ac:dyDescent="0.25">
      <c r="B51" s="9" t="s">
        <v>69</v>
      </c>
      <c r="C51" s="14">
        <f>[254]NºAsuntos!$E$36/Población!$T$51*1000</f>
        <v>128.327062349508</v>
      </c>
      <c r="D51" s="14">
        <f>[254]NºAsuntos!$E$17/Población!$T$51*1000</f>
        <v>48.29817406890195</v>
      </c>
      <c r="E51" s="14">
        <f>[254]NºAsuntos!$E$28/Población!$T$51*1000</f>
        <v>70.012325460194333</v>
      </c>
      <c r="F51" s="14">
        <f>[254]NºAsuntos!$E$31/Población!$T$51*1000</f>
        <v>2.8594449058115239</v>
      </c>
      <c r="G51" s="14">
        <f>[254]NºAsuntos!$E$35/Población!$T$51*1000</f>
        <v>7.1571179146001809</v>
      </c>
    </row>
    <row r="52" spans="2:7" ht="20.100000000000001" customHeight="1" thickBot="1" x14ac:dyDescent="0.25">
      <c r="B52" s="9" t="s">
        <v>70</v>
      </c>
      <c r="C52" s="14">
        <f>[255]NºAsuntos!$E$36/Población!$T$52*1000</f>
        <v>103.17155756207674</v>
      </c>
      <c r="D52" s="14">
        <f>[255]NºAsuntos!$E$17/Población!$T$52*1000</f>
        <v>38.532731376975164</v>
      </c>
      <c r="E52" s="14">
        <f>[255]NºAsuntos!$E$28/Población!$T$52*1000</f>
        <v>57.144469525959373</v>
      </c>
      <c r="F52" s="14">
        <f>[255]NºAsuntos!$E$31/Población!$T$52*1000</f>
        <v>1.9977426636568849</v>
      </c>
      <c r="G52" s="14">
        <f>[255]NºAsuntos!$E$35/Población!$T$52*1000</f>
        <v>5.496613995485327</v>
      </c>
    </row>
    <row r="53" spans="2:7" ht="20.100000000000001" customHeight="1" thickBot="1" x14ac:dyDescent="0.25">
      <c r="B53" s="9" t="s">
        <v>71</v>
      </c>
      <c r="C53" s="14">
        <f>[256]NºAsuntos!$E$36/Población!$T$53*1000</f>
        <v>137.43526213026229</v>
      </c>
      <c r="D53" s="14">
        <f>[256]NºAsuntos!$E$17/Población!$T$53*1000</f>
        <v>47.994602350540646</v>
      </c>
      <c r="E53" s="14">
        <f>[256]NºAsuntos!$E$28/Población!$T$53*1000</f>
        <v>82.139509638121282</v>
      </c>
      <c r="F53" s="14">
        <f>[256]NºAsuntos!$E$31/Población!$T$53*1000</f>
        <v>1.2250251915436825</v>
      </c>
      <c r="G53" s="14">
        <f>[256]NºAsuntos!$E$35/Población!$T$53*1000</f>
        <v>6.0761249500566645</v>
      </c>
    </row>
    <row r="54" spans="2:7" ht="20.100000000000001" customHeight="1" thickBot="1" x14ac:dyDescent="0.25">
      <c r="B54" s="9" t="s">
        <v>72</v>
      </c>
      <c r="C54" s="14">
        <f>[257]NºAsuntos!$E$36/Población!$T$54*1000</f>
        <v>76.880777576316021</v>
      </c>
      <c r="D54" s="14">
        <f>[257]NºAsuntos!$E$17/Población!$T$54*1000</f>
        <v>25.339595160954733</v>
      </c>
      <c r="E54" s="14">
        <f>[257]NºAsuntos!$E$28/Población!$T$54*1000</f>
        <v>45.953095740570106</v>
      </c>
      <c r="F54" s="14">
        <f>[257]NºAsuntos!$E$31/Población!$T$54*1000</f>
        <v>2.2738756947953513</v>
      </c>
      <c r="G54" s="14">
        <f>[257]NºAsuntos!$E$35/Población!$T$54*1000</f>
        <v>3.3142109799958384</v>
      </c>
    </row>
    <row r="55" spans="2:7" ht="20.100000000000001" customHeight="1" thickBot="1" x14ac:dyDescent="0.25">
      <c r="B55" s="9" t="s">
        <v>73</v>
      </c>
      <c r="C55" s="14">
        <f>[258]NºAsuntos!$E$36/Población!$T$55*1000</f>
        <v>103.29492239496881</v>
      </c>
      <c r="D55" s="14">
        <f>[258]NºAsuntos!$E$17/Población!$T$55*1000</f>
        <v>45.813809025721895</v>
      </c>
      <c r="E55" s="14">
        <f>[258]NºAsuntos!$E$28/Población!$T$55*1000</f>
        <v>50.034114499607938</v>
      </c>
      <c r="F55" s="14">
        <f>[258]NºAsuntos!$E$31/Población!$T$55*1000</f>
        <v>2.2199883326956567</v>
      </c>
      <c r="G55" s="14">
        <f>[258]NºAsuntos!$E$35/Población!$T$55*1000</f>
        <v>5.227010536943312</v>
      </c>
    </row>
    <row r="56" spans="2:7" ht="20.100000000000001" customHeight="1" thickBot="1" x14ac:dyDescent="0.25">
      <c r="B56" s="9" t="s">
        <v>74</v>
      </c>
      <c r="C56" s="14">
        <f>[259]NºAsuntos!$E$36/Población!$T$56*1000</f>
        <v>126.9006187632114</v>
      </c>
      <c r="D56" s="14">
        <f>[259]NºAsuntos!$E$17/Población!$T$56*1000</f>
        <v>50.566604369097789</v>
      </c>
      <c r="E56" s="14">
        <f>[259]NºAsuntos!$E$28/Población!$T$56*1000</f>
        <v>65.827677232135485</v>
      </c>
      <c r="F56" s="14">
        <f>[259]NºAsuntos!$E$31/Población!$T$56*1000</f>
        <v>3.1707395566537651</v>
      </c>
      <c r="G56" s="14">
        <f>[259]NºAsuntos!$E$35/Población!$T$56*1000</f>
        <v>7.3355976053243621</v>
      </c>
    </row>
    <row r="57" spans="2:7" ht="20.100000000000001" customHeight="1" thickBot="1" x14ac:dyDescent="0.25">
      <c r="B57" s="9" t="s">
        <v>75</v>
      </c>
      <c r="C57" s="14">
        <f>[260]NºAsuntos!$E$36/Población!$T$57*1000</f>
        <v>105.67258695279993</v>
      </c>
      <c r="D57" s="14">
        <f>[260]NºAsuntos!$E$17/Población!$T$57*1000</f>
        <v>49.119843955287187</v>
      </c>
      <c r="E57" s="14">
        <f>[260]NºAsuntos!$E$28/Población!$T$57*1000</f>
        <v>45.934315794333372</v>
      </c>
      <c r="F57" s="14">
        <f>[260]NºAsuntos!$E$31/Población!$T$57*1000</f>
        <v>2.2564157806756167</v>
      </c>
      <c r="G57" s="14">
        <f>[260]NºAsuntos!$E$35/Población!$T$57*1000</f>
        <v>8.3620114225037572</v>
      </c>
    </row>
    <row r="58" spans="2:7" ht="20.100000000000001" customHeight="1" thickBot="1" x14ac:dyDescent="0.25">
      <c r="B58" s="9" t="s">
        <v>76</v>
      </c>
      <c r="C58" s="14">
        <f>[261]NºAsuntos!$E$36/Población!$T$58*1000</f>
        <v>102.6874974935405</v>
      </c>
      <c r="D58" s="14">
        <f>[261]NºAsuntos!$E$17/Población!$T$58*1000</f>
        <v>42.675695649932109</v>
      </c>
      <c r="E58" s="14">
        <f>[261]NºAsuntos!$E$28/Población!$T$58*1000</f>
        <v>52.22602249225146</v>
      </c>
      <c r="F58" s="14">
        <f>[261]NºAsuntos!$E$31/Población!$T$58*1000</f>
        <v>1.8504832453924112</v>
      </c>
      <c r="G58" s="14">
        <f>[261]NºAsuntos!$E$35/Población!$T$58*1000</f>
        <v>5.9352961059645146</v>
      </c>
    </row>
    <row r="59" spans="2:7" ht="20.100000000000001" customHeight="1" thickBot="1" x14ac:dyDescent="0.25">
      <c r="B59" s="9" t="s">
        <v>77</v>
      </c>
      <c r="C59" s="14">
        <f>[262]NºAsuntos!$E$36/Población!$T$59*1000</f>
        <v>115.14111169645092</v>
      </c>
      <c r="D59" s="14">
        <f>[262]NºAsuntos!$E$17/Población!$T$59*1000</f>
        <v>43.141522248905808</v>
      </c>
      <c r="E59" s="14">
        <f>[262]NºAsuntos!$E$28/Población!$T$59*1000</f>
        <v>62.922400349388525</v>
      </c>
      <c r="F59" s="14">
        <f>[262]NºAsuntos!$E$31/Población!$T$59*1000</f>
        <v>2.3376354063788538</v>
      </c>
      <c r="G59" s="14">
        <f>[262]NºAsuntos!$E$35/Población!$T$59*1000</f>
        <v>6.7395536917777443</v>
      </c>
    </row>
    <row r="60" spans="2:7" ht="20.100000000000001" customHeight="1" thickBot="1" x14ac:dyDescent="0.25">
      <c r="B60" s="9" t="s">
        <v>78</v>
      </c>
      <c r="C60" s="14">
        <f>[263]NºAsuntos!$E$61/Población!$T$60*1000</f>
        <v>172.17889692755801</v>
      </c>
      <c r="D60" s="14">
        <f>[263]NºAsuntos!$E$21/Población!$T$60*1000</f>
        <v>39.039744432960632</v>
      </c>
      <c r="E60" s="14">
        <f>[263]NºAsuntos!$E$40/Población!$T$60*1000</f>
        <v>105.58583106267031</v>
      </c>
      <c r="F60" s="14">
        <f>[263]NºAsuntos!$E$47/Población!$T$60*1000</f>
        <v>22.679225782204266</v>
      </c>
      <c r="G60" s="14">
        <f>[263]NºAsuntos!$E$54/Población!$T$60*1000</f>
        <v>4.8740956497228227</v>
      </c>
    </row>
    <row r="61" spans="2:7" ht="20.100000000000001" customHeight="1" thickBot="1" x14ac:dyDescent="0.25">
      <c r="B61" s="9" t="s">
        <v>79</v>
      </c>
      <c r="C61" s="14">
        <f>[264]NºAsuntos!$E$61/Población!$T$61*1000</f>
        <v>156.56834598999814</v>
      </c>
      <c r="D61" s="14">
        <f>[264]NºAsuntos!$E$21/Población!$T$61*1000</f>
        <v>36.37247638451565</v>
      </c>
      <c r="E61" s="14">
        <f>[264]NºAsuntos!$E$40/Población!$T$61*1000</f>
        <v>98.721985552880156</v>
      </c>
      <c r="F61" s="14">
        <f>[264]NºAsuntos!$E$47/Población!$T$61*1000</f>
        <v>14.794406371550286</v>
      </c>
      <c r="G61" s="14">
        <f>[264]NºAsuntos!$E$54/Población!$T$61*1000</f>
        <v>6.6794776810520471</v>
      </c>
    </row>
    <row r="62" spans="2:7" ht="20.100000000000001" customHeight="1" thickBot="1" x14ac:dyDescent="0.25">
      <c r="B62" s="12" t="s">
        <v>6</v>
      </c>
      <c r="C62" s="15">
        <f>[265]NºAsuntos!$E$60/Población!$T$62*1000</f>
        <v>128.29023320002278</v>
      </c>
      <c r="D62" s="15">
        <f>[265]NºAsuntos!$E$20/Población!$T$62*1000</f>
        <v>47.675276705381378</v>
      </c>
      <c r="E62" s="15">
        <f>[265]NºAsuntos!$E$39/Población!$T$62*1000</f>
        <v>67.454986818049704</v>
      </c>
      <c r="F62" s="15">
        <f>[265]NºAsuntos!$E$46/Población!$T$62*1000</f>
        <v>4.4672664286396122</v>
      </c>
      <c r="G62" s="15">
        <f>[265]NºAsuntos!$E$53/Población!$T$62*1000</f>
        <v>8.6883584908325631</v>
      </c>
    </row>
  </sheetData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4"/>
  <dimension ref="B8:H62"/>
  <sheetViews>
    <sheetView workbookViewId="0">
      <selection activeCell="A2" sqref="A2"/>
    </sheetView>
  </sheetViews>
  <sheetFormatPr baseColWidth="10" defaultColWidth="10.710937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0.7109375" style="1"/>
  </cols>
  <sheetData>
    <row r="8" spans="2:8" ht="13.5" thickBot="1" x14ac:dyDescent="0.25"/>
    <row r="9" spans="2:8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8" ht="20.100000000000001" customHeight="1" thickBot="1" x14ac:dyDescent="0.25">
      <c r="B10" s="9" t="s">
        <v>31</v>
      </c>
      <c r="C10" s="14">
        <f>[266]NºAsuntos!$E$36/Población!$S$10*1000</f>
        <v>92.910325306641511</v>
      </c>
      <c r="D10" s="14">
        <f>[266]NºAsuntos!$E$17/Población!$S$10*1000</f>
        <v>39.724945645485498</v>
      </c>
      <c r="E10" s="14">
        <f>[266]NºAsuntos!$E$28/Población!$S$10*1000</f>
        <v>44.088690158756201</v>
      </c>
      <c r="F10" s="14">
        <f>[266]NºAsuntos!$E$31/Población!$S$10*1000</f>
        <v>2.1023915986380604</v>
      </c>
      <c r="G10" s="14">
        <f>[266]NºAsuntos!$E$35/Población!$S$10*1000</f>
        <v>6.9942979037617423</v>
      </c>
      <c r="H10" s="3"/>
    </row>
    <row r="11" spans="2:8" ht="20.100000000000001" customHeight="1" thickBot="1" x14ac:dyDescent="0.25">
      <c r="B11" s="9" t="s">
        <v>32</v>
      </c>
      <c r="C11" s="14">
        <f>[267]NºAsuntos!$E$36/Población!$S$11*1000</f>
        <v>117.18251802959681</v>
      </c>
      <c r="D11" s="14">
        <f>[267]NºAsuntos!$E$17/Población!$S$11*1000</f>
        <v>44.720631643996818</v>
      </c>
      <c r="E11" s="14">
        <f>[267]NºAsuntos!$E$28/Población!$S$11*1000</f>
        <v>64.354868045922615</v>
      </c>
      <c r="F11" s="14">
        <f>[267]NºAsuntos!$E$31/Población!$S$11*1000</f>
        <v>2.6011706363554685</v>
      </c>
      <c r="G11" s="14">
        <f>[267]NºAsuntos!$E$35/Población!$S$11*1000</f>
        <v>5.5058477033219155</v>
      </c>
      <c r="H11" s="3"/>
    </row>
    <row r="12" spans="2:8" ht="20.100000000000001" customHeight="1" thickBot="1" x14ac:dyDescent="0.25">
      <c r="B12" s="9" t="s">
        <v>33</v>
      </c>
      <c r="C12" s="14">
        <f>[268]NºAsuntos!$E$36/Población!$S$12*1000</f>
        <v>128.41035161998775</v>
      </c>
      <c r="D12" s="14">
        <f>[268]NºAsuntos!$E$17/Población!$S$12*1000</f>
        <v>43.969479475626599</v>
      </c>
      <c r="E12" s="14">
        <f>[268]NºAsuntos!$E$28/Población!$S$12*1000</f>
        <v>73.048033599746418</v>
      </c>
      <c r="F12" s="14">
        <f>[268]NºAsuntos!$E$31/Población!$S$12*1000</f>
        <v>3.6763873480200147</v>
      </c>
      <c r="G12" s="14">
        <f>[268]NºAsuntos!$E$35/Población!$S$12*1000</f>
        <v>7.7164511965947424</v>
      </c>
      <c r="H12" s="3"/>
    </row>
    <row r="13" spans="2:8" ht="20.100000000000001" customHeight="1" thickBot="1" x14ac:dyDescent="0.25">
      <c r="B13" s="9" t="s">
        <v>34</v>
      </c>
      <c r="C13" s="14">
        <f>[269]NºAsuntos!$E$36/Población!$S$13*1000</f>
        <v>95.151481746862885</v>
      </c>
      <c r="D13" s="14">
        <f>[269]NºAsuntos!$E$17/Población!$S$13*1000</f>
        <v>36.938029359348874</v>
      </c>
      <c r="E13" s="14">
        <f>[269]NºAsuntos!$E$28/Población!$S$13*1000</f>
        <v>37.357536117388399</v>
      </c>
      <c r="F13" s="14">
        <f>[269]NºAsuntos!$E$31/Población!$S$13*1000</f>
        <v>11.155205252102126</v>
      </c>
      <c r="G13" s="14">
        <f>[269]NºAsuntos!$E$35/Población!$S$13*1000</f>
        <v>9.7007110180234797</v>
      </c>
      <c r="H13" s="3"/>
    </row>
    <row r="14" spans="2:8" ht="20.100000000000001" customHeight="1" thickBot="1" x14ac:dyDescent="0.25">
      <c r="B14" s="9" t="s">
        <v>35</v>
      </c>
      <c r="C14" s="14">
        <f>[270]NºAsuntos!$E$36/Población!$S$14*1000</f>
        <v>119.33987786967612</v>
      </c>
      <c r="D14" s="14">
        <f>[270]NºAsuntos!$E$17/Población!$S$14*1000</f>
        <v>51.27637783102729</v>
      </c>
      <c r="E14" s="14">
        <f>[270]NºAsuntos!$E$28/Población!$S$14*1000</f>
        <v>54.381811857463092</v>
      </c>
      <c r="F14" s="14">
        <f>[270]NºAsuntos!$E$31/Población!$S$14*1000</f>
        <v>2.6802968230656257</v>
      </c>
      <c r="G14" s="14">
        <f>[270]NºAsuntos!$E$35/Población!$S$14*1000</f>
        <v>11.001391358120122</v>
      </c>
      <c r="H14" s="3"/>
    </row>
    <row r="15" spans="2:8" ht="20.100000000000001" customHeight="1" thickBot="1" x14ac:dyDescent="0.25">
      <c r="B15" s="9" t="s">
        <v>36</v>
      </c>
      <c r="C15" s="14">
        <f>[271]NºAsuntos!$E$36/Población!$S$15*1000</f>
        <v>95.252022401991297</v>
      </c>
      <c r="D15" s="14">
        <f>[271]NºAsuntos!$E$17/Población!$S$15*1000</f>
        <v>40.006222775357806</v>
      </c>
      <c r="E15" s="14">
        <f>[271]NºAsuntos!$E$28/Población!$S$15*1000</f>
        <v>49.57685127566895</v>
      </c>
      <c r="F15" s="14">
        <f>[271]NºAsuntos!$E$31/Población!$S$15*1000</f>
        <v>1.6614810205351587</v>
      </c>
      <c r="G15" s="14">
        <f>[271]NºAsuntos!$E$35/Población!$S$15*1000</f>
        <v>4.0074673304293711</v>
      </c>
      <c r="H15" s="3"/>
    </row>
    <row r="16" spans="2:8" ht="20.100000000000001" customHeight="1" thickBot="1" x14ac:dyDescent="0.25">
      <c r="B16" s="9" t="s">
        <v>37</v>
      </c>
      <c r="C16" s="14">
        <f>[272]NºAsuntos!$E$36/Población!$S$16*1000</f>
        <v>102.68810561801719</v>
      </c>
      <c r="D16" s="14">
        <f>[272]NºAsuntos!$E$17/Población!$S$16*1000</f>
        <v>40.586335316024503</v>
      </c>
      <c r="E16" s="14">
        <f>[272]NºAsuntos!$E$28/Población!$S$16*1000</f>
        <v>55.577127862988391</v>
      </c>
      <c r="F16" s="14">
        <f>[272]NºAsuntos!$E$31/Población!$S$16*1000</f>
        <v>1.6282189314647793</v>
      </c>
      <c r="G16" s="14">
        <f>[272]NºAsuntos!$E$35/Población!$S$16*1000</f>
        <v>4.896423507539521</v>
      </c>
      <c r="H16" s="3"/>
    </row>
    <row r="17" spans="2:8" ht="20.100000000000001" customHeight="1" thickBot="1" x14ac:dyDescent="0.25">
      <c r="B17" s="9" t="s">
        <v>29</v>
      </c>
      <c r="C17" s="14">
        <f>[273]NºAsuntos!$E$36/Población!$S$17*1000</f>
        <v>130.68918520536309</v>
      </c>
      <c r="D17" s="14">
        <f>[273]NºAsuntos!$E$17/Población!$S$17*1000</f>
        <v>46.705238983189055</v>
      </c>
      <c r="E17" s="14">
        <f>[273]NºAsuntos!$E$28/Población!$S$17*1000</f>
        <v>76.566376851592167</v>
      </c>
      <c r="F17" s="14">
        <f>[273]NºAsuntos!$E$31/Población!$S$17*1000</f>
        <v>1.7419370447464559</v>
      </c>
      <c r="G17" s="14">
        <f>[273]NºAsuntos!$E$35/Población!$S$17*1000</f>
        <v>5.6756323258354175</v>
      </c>
      <c r="H17" s="3"/>
    </row>
    <row r="18" spans="2:8" ht="20.100000000000001" customHeight="1" thickBot="1" x14ac:dyDescent="0.25">
      <c r="B18" s="9" t="s">
        <v>38</v>
      </c>
      <c r="C18" s="14">
        <f>[274]NºAsuntos!$E$36/Población!$S$18*1000</f>
        <v>110.8787477557986</v>
      </c>
      <c r="D18" s="14">
        <f>[274]NºAsuntos!$E$17/Población!$S$18*1000</f>
        <v>44.239663402520463</v>
      </c>
      <c r="E18" s="14">
        <f>[274]NºAsuntos!$E$28/Población!$S$18*1000</f>
        <v>57.935949851121862</v>
      </c>
      <c r="F18" s="14">
        <f>[274]NºAsuntos!$E$31/Población!$S$18*1000</f>
        <v>1.4183908750964171</v>
      </c>
      <c r="G18" s="14">
        <f>[274]NºAsuntos!$E$35/Población!$S$18*1000</f>
        <v>7.2847436270598642</v>
      </c>
      <c r="H18" s="3"/>
    </row>
    <row r="19" spans="2:8" ht="20.100000000000001" customHeight="1" thickBot="1" x14ac:dyDescent="0.25">
      <c r="B19" s="9" t="s">
        <v>39</v>
      </c>
      <c r="C19" s="14">
        <f>[275]NºAsuntos!$E$36/Población!$S$19*1000</f>
        <v>92.382491713852275</v>
      </c>
      <c r="D19" s="14">
        <f>[275]NºAsuntos!$E$17/Población!$S$19*1000</f>
        <v>39.361596513809083</v>
      </c>
      <c r="E19" s="14">
        <f>[275]NºAsuntos!$E$28/Población!$S$19*1000</f>
        <v>37.891599944962209</v>
      </c>
      <c r="F19" s="14">
        <f>[275]NºAsuntos!$E$31/Población!$S$19*1000</f>
        <v>5.2721322439567295</v>
      </c>
      <c r="G19" s="14">
        <f>[275]NºAsuntos!$E$35/Población!$S$19*1000</f>
        <v>9.8571630111242516</v>
      </c>
      <c r="H19" s="3"/>
    </row>
    <row r="20" spans="2:8" ht="20.100000000000001" customHeight="1" thickBot="1" x14ac:dyDescent="0.25">
      <c r="B20" s="9" t="s">
        <v>40</v>
      </c>
      <c r="C20" s="14">
        <f>[276]NºAsuntos!$E$36/Población!$S$20*1000</f>
        <v>106.56641659989224</v>
      </c>
      <c r="D20" s="14">
        <f>[276]NºAsuntos!$E$17/Población!$S$20*1000</f>
        <v>44.180014574044236</v>
      </c>
      <c r="E20" s="14">
        <f>[276]NºAsuntos!$E$28/Población!$S$20*1000</f>
        <v>52.600573469097164</v>
      </c>
      <c r="F20" s="14">
        <f>[276]NºAsuntos!$E$31/Población!$S$20*1000</f>
        <v>2.0325486988058779</v>
      </c>
      <c r="G20" s="14">
        <f>[276]NºAsuntos!$E$35/Población!$S$20*1000</f>
        <v>7.753279857944948</v>
      </c>
      <c r="H20" s="3"/>
    </row>
    <row r="21" spans="2:8" ht="20.100000000000001" customHeight="1" thickBot="1" x14ac:dyDescent="0.25">
      <c r="B21" s="9" t="s">
        <v>41</v>
      </c>
      <c r="C21" s="14">
        <f>[277]NºAsuntos!$E$36/Población!$S$21*1000</f>
        <v>93.259106680398759</v>
      </c>
      <c r="D21" s="14">
        <f>[277]NºAsuntos!$E$17/Población!$S$21*1000</f>
        <v>40.121389074983249</v>
      </c>
      <c r="E21" s="14">
        <f>[277]NºAsuntos!$E$28/Población!$S$21*1000</f>
        <v>47.238248557629817</v>
      </c>
      <c r="F21" s="14">
        <f>[277]NºAsuntos!$E$31/Población!$S$21*1000</f>
        <v>1.5998560129588337</v>
      </c>
      <c r="G21" s="14">
        <f>[277]NºAsuntos!$E$35/Población!$S$21*1000</f>
        <v>4.2996130348268649</v>
      </c>
      <c r="H21" s="3"/>
    </row>
    <row r="22" spans="2:8" ht="20.100000000000001" customHeight="1" thickBot="1" x14ac:dyDescent="0.25">
      <c r="B22" s="9" t="s">
        <v>42</v>
      </c>
      <c r="C22" s="14">
        <f>[278]NºAsuntos!$E$36/Población!$S$22*1000</f>
        <v>130.79750047400628</v>
      </c>
      <c r="D22" s="14">
        <f>[278]NºAsuntos!$E$17/Población!$S$22*1000</f>
        <v>45.85476446929448</v>
      </c>
      <c r="E22" s="14">
        <f>[278]NºAsuntos!$E$28/Población!$S$22*1000</f>
        <v>72.919515747094451</v>
      </c>
      <c r="F22" s="14">
        <f>[278]NºAsuntos!$E$31/Población!$S$22*1000</f>
        <v>5.4613594097310463</v>
      </c>
      <c r="G22" s="14">
        <f>[278]NºAsuntos!$E$35/Población!$S$22*1000</f>
        <v>6.5618608478863347</v>
      </c>
      <c r="H22" s="3"/>
    </row>
    <row r="23" spans="2:8" ht="20.100000000000001" customHeight="1" thickBot="1" x14ac:dyDescent="0.25">
      <c r="B23" s="9" t="s">
        <v>5</v>
      </c>
      <c r="C23" s="14">
        <f>[279]NºAsuntos!$E$36/Población!$S$23*1000</f>
        <v>121.79839564359507</v>
      </c>
      <c r="D23" s="14">
        <f>[279]NºAsuntos!$E$17/Población!$S$23*1000</f>
        <v>54.742846310928066</v>
      </c>
      <c r="E23" s="14">
        <f>[279]NºAsuntos!$E$28/Población!$S$23*1000</f>
        <v>57.091651659931586</v>
      </c>
      <c r="F23" s="14">
        <f>[279]NºAsuntos!$E$31/Población!$S$23*1000</f>
        <v>1.9266062950740572</v>
      </c>
      <c r="G23" s="14">
        <f>[279]NºAsuntos!$E$35/Población!$S$23*1000</f>
        <v>8.0372913776613633</v>
      </c>
      <c r="H23" s="3"/>
    </row>
    <row r="24" spans="2:8" ht="20.100000000000001" customHeight="1" thickBot="1" x14ac:dyDescent="0.25">
      <c r="B24" s="9" t="s">
        <v>43</v>
      </c>
      <c r="C24" s="14">
        <f>[280]NºAsuntos!$E$36/Población!$S$24*1000</f>
        <v>107.55035014857421</v>
      </c>
      <c r="D24" s="14">
        <f>[280]NºAsuntos!$E$17/Población!$S$24*1000</f>
        <v>40.007298382191948</v>
      </c>
      <c r="E24" s="14">
        <f>[280]NºAsuntos!$E$28/Población!$S$24*1000</f>
        <v>57.540792743322847</v>
      </c>
      <c r="F24" s="14">
        <f>[280]NºAsuntos!$E$31/Población!$S$24*1000</f>
        <v>3.4875840617234606</v>
      </c>
      <c r="G24" s="14">
        <f>[280]NºAsuntos!$E$35/Población!$S$24*1000</f>
        <v>6.5146749613359516</v>
      </c>
      <c r="H24" s="3"/>
    </row>
    <row r="25" spans="2:8" ht="20.100000000000001" customHeight="1" thickBot="1" x14ac:dyDescent="0.25">
      <c r="B25" s="9" t="s">
        <v>44</v>
      </c>
      <c r="C25" s="14">
        <f>[281]NºAsuntos!$E$36/Población!$S$25*1000</f>
        <v>103.12031167301394</v>
      </c>
      <c r="D25" s="14">
        <f>[281]NºAsuntos!$E$17/Población!$S$25*1000</f>
        <v>36.844032170130802</v>
      </c>
      <c r="E25" s="14">
        <f>[281]NºAsuntos!$E$28/Población!$S$25*1000</f>
        <v>59.105253313913458</v>
      </c>
      <c r="F25" s="14">
        <f>[281]NºAsuntos!$E$31/Población!$S$25*1000</f>
        <v>1.5878132349605434</v>
      </c>
      <c r="G25" s="14">
        <f>[281]NºAsuntos!$E$35/Población!$S$25*1000</f>
        <v>5.5832129540091291</v>
      </c>
      <c r="H25" s="3"/>
    </row>
    <row r="26" spans="2:8" ht="20.100000000000001" customHeight="1" thickBot="1" x14ac:dyDescent="0.25">
      <c r="B26" s="9" t="s">
        <v>45</v>
      </c>
      <c r="C26" s="14">
        <f>[282]NºAsuntos!$E$36/Población!$S$26*1000</f>
        <v>119.46045451835087</v>
      </c>
      <c r="D26" s="14">
        <f>[282]NºAsuntos!$E$17/Población!$S$26*1000</f>
        <v>36.404857025775833</v>
      </c>
      <c r="E26" s="14">
        <f>[282]NºAsuntos!$E$28/Población!$S$26*1000</f>
        <v>73.680030549885245</v>
      </c>
      <c r="F26" s="14">
        <f>[282]NºAsuntos!$E$31/Población!$S$26*1000</f>
        <v>3.3543976991166162</v>
      </c>
      <c r="G26" s="14">
        <f>[282]NºAsuntos!$E$35/Población!$S$26*1000</f>
        <v>6.0211692435731692</v>
      </c>
      <c r="H26" s="3"/>
    </row>
    <row r="27" spans="2:8" ht="20.100000000000001" customHeight="1" thickBot="1" x14ac:dyDescent="0.25">
      <c r="B27" s="9" t="s">
        <v>46</v>
      </c>
      <c r="C27" s="14">
        <f>[283]NºAsuntos!$E$36/Población!$S$27*1000</f>
        <v>103.09882941442157</v>
      </c>
      <c r="D27" s="14">
        <f>[283]NºAsuntos!$E$17/Población!$S$27*1000</f>
        <v>43.265428539294156</v>
      </c>
      <c r="E27" s="14">
        <f>[283]NºAsuntos!$E$28/Población!$S$27*1000</f>
        <v>47.84904676808052</v>
      </c>
      <c r="F27" s="14">
        <f>[283]NºAsuntos!$E$31/Población!$S$27*1000</f>
        <v>2.149435773109559</v>
      </c>
      <c r="G27" s="14">
        <f>[283]NºAsuntos!$E$35/Población!$S$27*1000</f>
        <v>9.8349183339373418</v>
      </c>
      <c r="H27" s="3"/>
    </row>
    <row r="28" spans="2:8" ht="20.100000000000001" customHeight="1" thickBot="1" x14ac:dyDescent="0.25">
      <c r="B28" s="9" t="s">
        <v>47</v>
      </c>
      <c r="C28" s="14">
        <f>[284]NºAsuntos!$E$36/Población!$S$28*1000</f>
        <v>95.265652834670249</v>
      </c>
      <c r="D28" s="14">
        <f>[284]NºAsuntos!$E$17/Población!$S$28*1000</f>
        <v>33.922442858724423</v>
      </c>
      <c r="E28" s="14">
        <f>[284]NºAsuntos!$E$28/Población!$S$28*1000</f>
        <v>52.848760555158563</v>
      </c>
      <c r="F28" s="14">
        <f>[284]NºAsuntos!$E$31/Población!$S$28*1000</f>
        <v>3.0747088839460943</v>
      </c>
      <c r="G28" s="14">
        <f>[284]NºAsuntos!$E$35/Población!$S$28*1000</f>
        <v>5.419740536841152</v>
      </c>
    </row>
    <row r="29" spans="2:8" ht="20.100000000000001" customHeight="1" thickBot="1" x14ac:dyDescent="0.25">
      <c r="B29" s="9" t="s">
        <v>48</v>
      </c>
      <c r="C29" s="14">
        <f>[285]NºAsuntos!$E$36/Población!$S$10*1000</f>
        <v>139.69879394511219</v>
      </c>
      <c r="D29" s="14">
        <f>[285]NºAsuntos!$E$17/Población!$S$10*1000</f>
        <v>46.309020798293474</v>
      </c>
      <c r="E29" s="14">
        <f>[285]NºAsuntos!$E$28/Población!$S$10*1000</f>
        <v>75.457911145752149</v>
      </c>
      <c r="F29" s="14">
        <f>[285]NºAsuntos!$E$31/Población!$S$10*1000</f>
        <v>6.8994338926036836</v>
      </c>
      <c r="G29" s="14">
        <f>[285]NºAsuntos!$E$35/Población!$S$10*1000</f>
        <v>11.032428108462895</v>
      </c>
    </row>
    <row r="30" spans="2:8" ht="20.100000000000001" customHeight="1" thickBot="1" x14ac:dyDescent="0.25">
      <c r="B30" s="9" t="s">
        <v>49</v>
      </c>
      <c r="C30" s="14">
        <f>[286]NºAsuntos!$E$36/Población!$S$30*1000</f>
        <v>109.53056439191442</v>
      </c>
      <c r="D30" s="14">
        <f>[286]NºAsuntos!$E$17/Población!$S$30*1000</f>
        <v>38.834694514870662</v>
      </c>
      <c r="E30" s="14">
        <f>[286]NºAsuntos!$E$28/Población!$S$30*1000</f>
        <v>64.046546586283739</v>
      </c>
      <c r="F30" s="14">
        <f>[286]NºAsuntos!$E$31/Población!$S$30*1000</f>
        <v>1.5455541499716825</v>
      </c>
      <c r="G30" s="14">
        <f>[286]NºAsuntos!$E$35/Población!$S$30*1000</f>
        <v>5.103769140788339</v>
      </c>
    </row>
    <row r="31" spans="2:8" ht="20.100000000000001" customHeight="1" thickBot="1" x14ac:dyDescent="0.25">
      <c r="B31" s="9" t="s">
        <v>50</v>
      </c>
      <c r="C31" s="14">
        <f>[287]NºAsuntos!$E$36/Población!$S$31*1000</f>
        <v>160.11821175150996</v>
      </c>
      <c r="D31" s="14">
        <f>[287]NºAsuntos!$E$17/Población!$S$31*1000</f>
        <v>46.126900183802185</v>
      </c>
      <c r="E31" s="14">
        <f>[287]NºAsuntos!$E$28/Población!$S$31*1000</f>
        <v>102.4319285646999</v>
      </c>
      <c r="F31" s="14">
        <f>[287]NºAsuntos!$E$31/Población!$S$31*1000</f>
        <v>2.5368644968223473</v>
      </c>
      <c r="G31" s="14">
        <f>[287]NºAsuntos!$E$35/Población!$S$31*1000</f>
        <v>9.0225185061855235</v>
      </c>
    </row>
    <row r="32" spans="2:8" ht="20.100000000000001" customHeight="1" thickBot="1" x14ac:dyDescent="0.25">
      <c r="B32" s="9" t="s">
        <v>51</v>
      </c>
      <c r="C32" s="14">
        <f>[288]NºAsuntos!$E$36/Población!$S$32*1000</f>
        <v>96.462832102956853</v>
      </c>
      <c r="D32" s="14">
        <f>[288]NºAsuntos!$E$17/Población!$S$32*1000</f>
        <v>40.784019580750865</v>
      </c>
      <c r="E32" s="14">
        <f>[288]NºAsuntos!$E$28/Población!$S$32*1000</f>
        <v>46.689826694563969</v>
      </c>
      <c r="F32" s="14">
        <f>[288]NºAsuntos!$E$31/Población!$S$32*1000</f>
        <v>2.0093956022265211</v>
      </c>
      <c r="G32" s="14">
        <f>[288]NºAsuntos!$E$35/Población!$S$32*1000</f>
        <v>6.9795902254154987</v>
      </c>
    </row>
    <row r="33" spans="2:7" ht="20.100000000000001" customHeight="1" thickBot="1" x14ac:dyDescent="0.25">
      <c r="B33" s="9" t="s">
        <v>52</v>
      </c>
      <c r="C33" s="14">
        <f>[289]NºAsuntos!$E$36/Población!$S$33*1000</f>
        <v>133.17981230609138</v>
      </c>
      <c r="D33" s="14">
        <f>[289]NºAsuntos!$E$17/Población!$S$33*1000</f>
        <v>45.456998053687393</v>
      </c>
      <c r="E33" s="14">
        <f>[289]NºAsuntos!$E$28/Población!$S$33*1000</f>
        <v>76.497793536700513</v>
      </c>
      <c r="F33" s="14">
        <f>[289]NºAsuntos!$E$31/Población!$S$33*1000</f>
        <v>4.6962017998573984</v>
      </c>
      <c r="G33" s="14">
        <f>[289]NºAsuntos!$E$35/Población!$S$33*1000</f>
        <v>6.5288189158460677</v>
      </c>
    </row>
    <row r="34" spans="2:7" ht="20.100000000000001" customHeight="1" thickBot="1" x14ac:dyDescent="0.25">
      <c r="B34" s="9" t="s">
        <v>53</v>
      </c>
      <c r="C34" s="14">
        <f>[290]NºAsuntos!$E$36/Población!$S$34*1000</f>
        <v>97.422872800429673</v>
      </c>
      <c r="D34" s="14">
        <f>[290]NºAsuntos!$E$17/Población!$S$34*1000</f>
        <v>38.147126562343537</v>
      </c>
      <c r="E34" s="14">
        <f>[290]NºAsuntos!$E$28/Población!$S$34*1000</f>
        <v>53.090094764726764</v>
      </c>
      <c r="F34" s="14">
        <f>[290]NºAsuntos!$E$31/Población!$S$34*1000</f>
        <v>2.2439486213143258</v>
      </c>
      <c r="G34" s="14">
        <f>[290]NºAsuntos!$E$35/Población!$S$34*1000</f>
        <v>3.9417028520450432</v>
      </c>
    </row>
    <row r="35" spans="2:7" ht="20.100000000000001" customHeight="1" thickBot="1" x14ac:dyDescent="0.25">
      <c r="B35" s="9" t="s">
        <v>54</v>
      </c>
      <c r="C35" s="14">
        <f>[291]NºAsuntos!$E$36/Población!$S$35*1000</f>
        <v>115.14350007148586</v>
      </c>
      <c r="D35" s="14">
        <f>[291]NºAsuntos!$E$17/Población!$S$35*1000</f>
        <v>40.36308595085503</v>
      </c>
      <c r="E35" s="14">
        <f>[291]NºAsuntos!$E$28/Población!$S$35*1000</f>
        <v>65.585158294534125</v>
      </c>
      <c r="F35" s="14">
        <f>[291]NºAsuntos!$E$31/Población!$S$35*1000</f>
        <v>4.4740817176495451</v>
      </c>
      <c r="G35" s="14">
        <f>[291]NºAsuntos!$E$35/Población!$S$35*1000</f>
        <v>4.7211741084471406</v>
      </c>
    </row>
    <row r="36" spans="2:7" ht="20.100000000000001" customHeight="1" thickBot="1" x14ac:dyDescent="0.25">
      <c r="B36" s="9" t="s">
        <v>55</v>
      </c>
      <c r="C36" s="14">
        <f>[292]NºAsuntos!$E$36/Población!$S$36*1000</f>
        <v>104.91206791995148</v>
      </c>
      <c r="D36" s="14">
        <f>[292]NºAsuntos!$E$17/Población!$S$36*1000</f>
        <v>43.607307886128169</v>
      </c>
      <c r="E36" s="14">
        <f>[292]NºAsuntos!$E$28/Población!$S$36*1000</f>
        <v>48.253743199036549</v>
      </c>
      <c r="F36" s="14">
        <f>[292]NºAsuntos!$E$31/Población!$S$36*1000</f>
        <v>3.0406819327121002</v>
      </c>
      <c r="G36" s="14">
        <f>[292]NºAsuntos!$E$35/Población!$S$36*1000</f>
        <v>10.010334902074668</v>
      </c>
    </row>
    <row r="37" spans="2:7" ht="20.100000000000001" customHeight="1" thickBot="1" x14ac:dyDescent="0.25">
      <c r="B37" s="9" t="s">
        <v>56</v>
      </c>
      <c r="C37" s="14">
        <f>[293]NºAsuntos!$E$36/Población!$S$37*1000</f>
        <v>96.159894908229717</v>
      </c>
      <c r="D37" s="14">
        <f>[293]NºAsuntos!$E$17/Población!$S$37*1000</f>
        <v>38.59532267613973</v>
      </c>
      <c r="E37" s="14">
        <f>[293]NºAsuntos!$E$28/Población!$S$37*1000</f>
        <v>52.226724393132031</v>
      </c>
      <c r="F37" s="14">
        <f>[293]NºAsuntos!$E$31/Población!$S$37*1000</f>
        <v>1.3460257548845471</v>
      </c>
      <c r="G37" s="14">
        <f>[293]NºAsuntos!$E$35/Población!$S$37*1000</f>
        <v>3.9918220840734167</v>
      </c>
    </row>
    <row r="38" spans="2:7" ht="20.100000000000001" customHeight="1" thickBot="1" x14ac:dyDescent="0.25">
      <c r="B38" s="9" t="s">
        <v>57</v>
      </c>
      <c r="C38" s="14">
        <f>[294]NºAsuntos!$E$36/Población!$S$38*1000</f>
        <v>101.09281428151807</v>
      </c>
      <c r="D38" s="14">
        <f>[294]NºAsuntos!$E$17/Población!$S$38*1000</f>
        <v>39.603277843385264</v>
      </c>
      <c r="E38" s="14">
        <f>[294]NºAsuntos!$E$28/Población!$S$38*1000</f>
        <v>50.081826192774116</v>
      </c>
      <c r="F38" s="14">
        <f>[294]NºAsuntos!$E$31/Población!$S$38*1000</f>
        <v>2.1820318073098068</v>
      </c>
      <c r="G38" s="14">
        <f>[294]NºAsuntos!$E$35/Población!$S$38*1000</f>
        <v>9.2256784380488792</v>
      </c>
    </row>
    <row r="39" spans="2:7" ht="20.100000000000001" customHeight="1" thickBot="1" x14ac:dyDescent="0.25">
      <c r="B39" s="9" t="s">
        <v>58</v>
      </c>
      <c r="C39" s="14">
        <f>[295]NºAsuntos!$E$36/Población!$S$39*1000</f>
        <v>116.30391886874568</v>
      </c>
      <c r="D39" s="14">
        <f>[295]NºAsuntos!$E$17/Población!$S$39*1000</f>
        <v>44.720266093597481</v>
      </c>
      <c r="E39" s="14">
        <f>[295]NºAsuntos!$E$28/Población!$S$39*1000</f>
        <v>60.058237172946086</v>
      </c>
      <c r="F39" s="14">
        <f>[295]NºAsuntos!$E$31/Población!$S$39*1000</f>
        <v>2.4823333718548608</v>
      </c>
      <c r="G39" s="14">
        <f>[295]NºAsuntos!$E$35/Población!$S$39*1000</f>
        <v>9.0430822303472596</v>
      </c>
    </row>
    <row r="40" spans="2:7" ht="20.100000000000001" customHeight="1" thickBot="1" x14ac:dyDescent="0.25">
      <c r="B40" s="9" t="s">
        <v>59</v>
      </c>
      <c r="C40" s="14">
        <f>[296]NºAsuntos!$E$36/Población!$S$40*1000</f>
        <v>172.20803193886968</v>
      </c>
      <c r="D40" s="14">
        <f>[296]NºAsuntos!$E$17/Población!$S$40*1000</f>
        <v>50.192718698159894</v>
      </c>
      <c r="E40" s="14">
        <f>[296]NºAsuntos!$E$28/Población!$S$40*1000</f>
        <v>110.15107796751532</v>
      </c>
      <c r="F40" s="14">
        <f>[296]NºAsuntos!$E$31/Población!$S$40*1000</f>
        <v>3.467403403010521</v>
      </c>
      <c r="G40" s="14">
        <f>[296]NºAsuntos!$E$35/Población!$S$40*1000</f>
        <v>8.3968318701839504</v>
      </c>
    </row>
    <row r="41" spans="2:7" ht="20.100000000000001" customHeight="1" thickBot="1" x14ac:dyDescent="0.25">
      <c r="B41" s="9" t="s">
        <v>60</v>
      </c>
      <c r="C41" s="14">
        <f>[297]NºAsuntos!$E$36/Población!$S$41*1000</f>
        <v>121.27203587360987</v>
      </c>
      <c r="D41" s="14">
        <f>[297]NºAsuntos!$E$17/Población!$S$41*1000</f>
        <v>43.013100288177775</v>
      </c>
      <c r="E41" s="14">
        <f>[297]NºAsuntos!$E$28/Población!$S$41*1000</f>
        <v>68.868842725126555</v>
      </c>
      <c r="F41" s="14">
        <f>[297]NºAsuntos!$E$31/Población!$S$41*1000</f>
        <v>2.7233037673955787</v>
      </c>
      <c r="G41" s="14">
        <f>[297]NºAsuntos!$E$35/Población!$S$41*1000</f>
        <v>6.6667890929099558</v>
      </c>
    </row>
    <row r="42" spans="2:7" ht="20.100000000000001" customHeight="1" thickBot="1" x14ac:dyDescent="0.25">
      <c r="B42" s="9" t="s">
        <v>61</v>
      </c>
      <c r="C42" s="14">
        <f>[298]NºAsuntos!$E$36/Población!$S$42*1000</f>
        <v>88.788838898441313</v>
      </c>
      <c r="D42" s="14">
        <f>[298]NºAsuntos!$E$17/Población!$S$42*1000</f>
        <v>29.894253102292478</v>
      </c>
      <c r="E42" s="14">
        <f>[298]NºAsuntos!$E$28/Población!$S$42*1000</f>
        <v>51.626624214516028</v>
      </c>
      <c r="F42" s="14">
        <f>[298]NºAsuntos!$E$31/Población!$S$42*1000</f>
        <v>1.8142697680781799</v>
      </c>
      <c r="G42" s="14">
        <f>[298]NºAsuntos!$E$35/Población!$S$42*1000</f>
        <v>5.4536918135546317</v>
      </c>
    </row>
    <row r="43" spans="2:7" ht="20.100000000000001" customHeight="1" thickBot="1" x14ac:dyDescent="0.25">
      <c r="B43" s="9" t="s">
        <v>62</v>
      </c>
      <c r="C43" s="14">
        <f>[299]NºAsuntos!$E$36/Población!$S$43*1000</f>
        <v>103.94635523613962</v>
      </c>
      <c r="D43" s="14">
        <f>[299]NºAsuntos!$E$17/Población!$S$43*1000</f>
        <v>42.835600616016428</v>
      </c>
      <c r="E43" s="14">
        <f>[299]NºAsuntos!$E$28/Población!$S$43*1000</f>
        <v>47.192633470225871</v>
      </c>
      <c r="F43" s="14">
        <f>[299]NºAsuntos!$E$31/Población!$S$43*1000</f>
        <v>2.0405544147843941</v>
      </c>
      <c r="G43" s="14">
        <f>[299]NºAsuntos!$E$35/Población!$S$43*1000</f>
        <v>11.877566735112937</v>
      </c>
    </row>
    <row r="44" spans="2:7" ht="20.100000000000001" customHeight="1" thickBot="1" x14ac:dyDescent="0.25">
      <c r="B44" s="9" t="s">
        <v>63</v>
      </c>
      <c r="C44" s="14">
        <f>[300]NºAsuntos!$E$36/Población!$S$44*1000</f>
        <v>118.70983536324133</v>
      </c>
      <c r="D44" s="14">
        <f>[300]NºAsuntos!$E$17/Población!$S$44*1000</f>
        <v>51.26996756227431</v>
      </c>
      <c r="E44" s="14">
        <f>[300]NºAsuntos!$E$28/Población!$S$44*1000</f>
        <v>58.198176142970809</v>
      </c>
      <c r="F44" s="14">
        <f>[300]NºAsuntos!$E$31/Población!$S$44*1000</f>
        <v>1.811616377991309</v>
      </c>
      <c r="G44" s="14">
        <f>[300]NºAsuntos!$E$35/Población!$S$44*1000</f>
        <v>7.4300752800048961</v>
      </c>
    </row>
    <row r="45" spans="2:7" ht="20.100000000000001" customHeight="1" thickBot="1" x14ac:dyDescent="0.25">
      <c r="B45" s="9" t="s">
        <v>64</v>
      </c>
      <c r="C45" s="14">
        <f>[301]NºAsuntos!$E$36/Población!$S$45*1000</f>
        <v>174.92366967141612</v>
      </c>
      <c r="D45" s="14">
        <f>[301]NºAsuntos!$E$17/Población!$S$45*1000</f>
        <v>55.161384123291654</v>
      </c>
      <c r="E45" s="14">
        <f>[301]NºAsuntos!$E$28/Población!$S$45*1000</f>
        <v>105.68115731317243</v>
      </c>
      <c r="F45" s="14">
        <f>[301]NºAsuntos!$E$31/Población!$S$45*1000</f>
        <v>2.1908621692352428</v>
      </c>
      <c r="G45" s="14">
        <f>[301]NºAsuntos!$E$35/Población!$S$45*1000</f>
        <v>11.890266065716778</v>
      </c>
    </row>
    <row r="46" spans="2:7" ht="20.100000000000001" customHeight="1" thickBot="1" x14ac:dyDescent="0.25">
      <c r="B46" s="9" t="s">
        <v>65</v>
      </c>
      <c r="C46" s="14">
        <f>[302]NºAsuntos!$E$36/Población!$S$46*1000</f>
        <v>121.49276941142277</v>
      </c>
      <c r="D46" s="14">
        <f>[302]NºAsuntos!$E$17/Población!$S$46*1000</f>
        <v>49.406458470125628</v>
      </c>
      <c r="E46" s="14">
        <f>[302]NºAsuntos!$E$28/Población!$S$46*1000</f>
        <v>61.447008743745563</v>
      </c>
      <c r="F46" s="14">
        <f>[302]NºAsuntos!$E$31/Población!$S$46*1000</f>
        <v>2.1607436267609743</v>
      </c>
      <c r="G46" s="14">
        <f>[302]NºAsuntos!$E$35/Población!$S$46*1000</f>
        <v>8.4785585707906073</v>
      </c>
    </row>
    <row r="47" spans="2:7" ht="20.100000000000001" customHeight="1" thickBot="1" x14ac:dyDescent="0.25">
      <c r="B47" s="9" t="s">
        <v>30</v>
      </c>
      <c r="C47" s="14">
        <f>[303]NºAsuntos!$E$36/Población!$S$47*1000</f>
        <v>82.842656976799489</v>
      </c>
      <c r="D47" s="14">
        <f>[303]NºAsuntos!$E$17/Población!$S$47*1000</f>
        <v>37.415063050722779</v>
      </c>
      <c r="E47" s="14">
        <f>[303]NºAsuntos!$E$28/Población!$S$47*1000</f>
        <v>36.314806535587117</v>
      </c>
      <c r="F47" s="14">
        <f>[303]NºAsuntos!$E$31/Población!$S$47*1000</f>
        <v>2.8758866260174201</v>
      </c>
      <c r="G47" s="14">
        <f>[303]NºAsuntos!$E$35/Población!$S$47*1000</f>
        <v>6.2369007644721783</v>
      </c>
    </row>
    <row r="48" spans="2:7" ht="20.100000000000001" customHeight="1" thickBot="1" x14ac:dyDescent="0.25">
      <c r="B48" s="9" t="s">
        <v>66</v>
      </c>
      <c r="C48" s="14">
        <f>[304]NºAsuntos!$E$36/Población!$S$48*1000</f>
        <v>94.045916853265695</v>
      </c>
      <c r="D48" s="14">
        <f>[304]NºAsuntos!$E$17/Población!$S$48*1000</f>
        <v>41.216655725518052</v>
      </c>
      <c r="E48" s="14">
        <f>[304]NºAsuntos!$E$28/Población!$S$48*1000</f>
        <v>46.018770814411141</v>
      </c>
      <c r="F48" s="14">
        <f>[304]NºAsuntos!$E$31/Población!$S$48*1000</f>
        <v>1.6156929044403077</v>
      </c>
      <c r="G48" s="14">
        <f>[304]NºAsuntos!$E$35/Población!$S$48*1000</f>
        <v>5.1947974088962026</v>
      </c>
    </row>
    <row r="49" spans="2:7" ht="20.100000000000001" customHeight="1" thickBot="1" x14ac:dyDescent="0.25">
      <c r="B49" s="9" t="s">
        <v>67</v>
      </c>
      <c r="C49" s="14">
        <f>[305]NºAsuntos!$E$36/Población!$S$49*1000</f>
        <v>135.36765574247178</v>
      </c>
      <c r="D49" s="14">
        <f>[305]NºAsuntos!$E$17/Población!$S$49*1000</f>
        <v>46.009441854787568</v>
      </c>
      <c r="E49" s="14">
        <f>[305]NºAsuntos!$E$28/Población!$S$49*1000</f>
        <v>79.716883294744861</v>
      </c>
      <c r="F49" s="14">
        <f>[305]NºAsuntos!$E$31/Población!$S$49*1000</f>
        <v>2.0930073309839519</v>
      </c>
      <c r="G49" s="14">
        <f>[305]NºAsuntos!$E$35/Población!$S$49*1000</f>
        <v>7.5483232619553995</v>
      </c>
    </row>
    <row r="50" spans="2:7" ht="20.100000000000001" customHeight="1" thickBot="1" x14ac:dyDescent="0.25">
      <c r="B50" s="9" t="s">
        <v>68</v>
      </c>
      <c r="C50" s="14">
        <f>[306]NºAsuntos!$E$36/Población!$S$50*1000</f>
        <v>101.4826441135267</v>
      </c>
      <c r="D50" s="14">
        <f>[306]NºAsuntos!$E$17/Población!$S$50*1000</f>
        <v>37.429305245680489</v>
      </c>
      <c r="E50" s="14">
        <f>[306]NºAsuntos!$E$28/Población!$S$50*1000</f>
        <v>56.4974316401183</v>
      </c>
      <c r="F50" s="14">
        <f>[306]NºAsuntos!$E$31/Población!$S$50*1000</f>
        <v>2.5294453380376694</v>
      </c>
      <c r="G50" s="14">
        <f>[306]NºAsuntos!$E$35/Población!$S$50*1000</f>
        <v>5.02646188969024</v>
      </c>
    </row>
    <row r="51" spans="2:7" ht="20.100000000000001" customHeight="1" thickBot="1" x14ac:dyDescent="0.25">
      <c r="B51" s="9" t="s">
        <v>69</v>
      </c>
      <c r="C51" s="14">
        <f>[307]NºAsuntos!$E$36/Población!$S$51*1000</f>
        <v>128.97216692523486</v>
      </c>
      <c r="D51" s="14">
        <f>[307]NºAsuntos!$E$17/Población!$S$51*1000</f>
        <v>44.987257202400379</v>
      </c>
      <c r="E51" s="14">
        <f>[307]NºAsuntos!$E$28/Población!$S$51*1000</f>
        <v>74.08558890904844</v>
      </c>
      <c r="F51" s="14">
        <f>[307]NºAsuntos!$E$31/Población!$S$51*1000</f>
        <v>3.1817035803059199</v>
      </c>
      <c r="G51" s="14">
        <f>[307]NºAsuntos!$E$35/Población!$S$51*1000</f>
        <v>6.7176172334801221</v>
      </c>
    </row>
    <row r="52" spans="2:7" ht="20.100000000000001" customHeight="1" thickBot="1" x14ac:dyDescent="0.25">
      <c r="B52" s="9" t="s">
        <v>70</v>
      </c>
      <c r="C52" s="14">
        <f>[308]NºAsuntos!$E$36/Población!$S$52*1000</f>
        <v>97.285805878316808</v>
      </c>
      <c r="D52" s="14">
        <f>[308]NºAsuntos!$E$17/Población!$S$52*1000</f>
        <v>36.939135912173946</v>
      </c>
      <c r="E52" s="14">
        <f>[308]NºAsuntos!$E$28/Población!$S$52*1000</f>
        <v>54.227641361933799</v>
      </c>
      <c r="F52" s="14">
        <f>[308]NºAsuntos!$E$31/Población!$S$52*1000</f>
        <v>1.754721437971722</v>
      </c>
      <c r="G52" s="14">
        <f>[308]NºAsuntos!$E$35/Población!$S$52*1000</f>
        <v>4.36430716623736</v>
      </c>
    </row>
    <row r="53" spans="2:7" ht="20.100000000000001" customHeight="1" thickBot="1" x14ac:dyDescent="0.25">
      <c r="B53" s="9" t="s">
        <v>71</v>
      </c>
      <c r="C53" s="14">
        <f>[309]NºAsuntos!$E$36/Población!$S$53*1000</f>
        <v>135.76601030955183</v>
      </c>
      <c r="D53" s="14">
        <f>[309]NºAsuntos!$E$17/Población!$S$53*1000</f>
        <v>45.635113610957781</v>
      </c>
      <c r="E53" s="14">
        <f>[309]NºAsuntos!$E$28/Población!$S$53*1000</f>
        <v>83.235547112327623</v>
      </c>
      <c r="F53" s="14">
        <f>[309]NºAsuntos!$E$31/Población!$S$53*1000</f>
        <v>1.2744839224295277</v>
      </c>
      <c r="G53" s="14">
        <f>[309]NºAsuntos!$E$35/Población!$S$53*1000</f>
        <v>5.6208656638368657</v>
      </c>
    </row>
    <row r="54" spans="2:7" ht="20.100000000000001" customHeight="1" thickBot="1" x14ac:dyDescent="0.25">
      <c r="B54" s="9" t="s">
        <v>72</v>
      </c>
      <c r="C54" s="14">
        <f>[310]NºAsuntos!$E$36/Población!$S$54*1000</f>
        <v>71.310544252814211</v>
      </c>
      <c r="D54" s="14">
        <f>[310]NºAsuntos!$E$17/Población!$S$54*1000</f>
        <v>22.203862439326656</v>
      </c>
      <c r="E54" s="14">
        <f>[310]NºAsuntos!$E$28/Población!$S$54*1000</f>
        <v>44.924093772591142</v>
      </c>
      <c r="F54" s="14">
        <f>[310]NºAsuntos!$E$31/Población!$S$54*1000</f>
        <v>1.4458329030259218</v>
      </c>
      <c r="G54" s="14">
        <f>[310]NºAsuntos!$E$35/Población!$S$54*1000</f>
        <v>2.7367551378704946</v>
      </c>
    </row>
    <row r="55" spans="2:7" ht="20.100000000000001" customHeight="1" thickBot="1" x14ac:dyDescent="0.25">
      <c r="B55" s="9" t="s">
        <v>73</v>
      </c>
      <c r="C55" s="14">
        <f>[311]NºAsuntos!$E$36/Población!$S$55*1000</f>
        <v>96.624983074685403</v>
      </c>
      <c r="D55" s="14">
        <f>[311]NºAsuntos!$E$17/Población!$S$55*1000</f>
        <v>39.86948944515543</v>
      </c>
      <c r="E55" s="14">
        <f>[311]NºAsuntos!$E$28/Población!$S$55*1000</f>
        <v>50.065444549757508</v>
      </c>
      <c r="F55" s="14">
        <f>[311]NºAsuntos!$E$31/Población!$S$55*1000</f>
        <v>1.9844476378084592</v>
      </c>
      <c r="G55" s="14">
        <f>[311]NºAsuntos!$E$35/Población!$S$55*1000</f>
        <v>4.7056014419640064</v>
      </c>
    </row>
    <row r="56" spans="2:7" ht="20.100000000000001" customHeight="1" thickBot="1" x14ac:dyDescent="0.25">
      <c r="B56" s="9" t="s">
        <v>74</v>
      </c>
      <c r="C56" s="14">
        <f>[312]NºAsuntos!$E$36/Población!$S$56*1000</f>
        <v>121.02064504092759</v>
      </c>
      <c r="D56" s="14">
        <f>[312]NºAsuntos!$E$17/Población!$S$56*1000</f>
        <v>46.274914817017468</v>
      </c>
      <c r="E56" s="14">
        <f>[312]NºAsuntos!$E$28/Población!$S$56*1000</f>
        <v>65.095266789913197</v>
      </c>
      <c r="F56" s="14">
        <f>[312]NºAsuntos!$E$31/Población!$S$56*1000</f>
        <v>2.8799070494944909</v>
      </c>
      <c r="G56" s="14">
        <f>[312]NºAsuntos!$E$35/Población!$S$56*1000</f>
        <v>6.7705563845024246</v>
      </c>
    </row>
    <row r="57" spans="2:7" ht="20.100000000000001" customHeight="1" thickBot="1" x14ac:dyDescent="0.25">
      <c r="B57" s="9" t="s">
        <v>75</v>
      </c>
      <c r="C57" s="14">
        <f>[313]NºAsuntos!$E$36/Población!$S$57*1000</f>
        <v>102.76898278740428</v>
      </c>
      <c r="D57" s="14">
        <f>[313]NºAsuntos!$E$17/Población!$S$57*1000</f>
        <v>46.974843129353523</v>
      </c>
      <c r="E57" s="14">
        <f>[313]NºAsuntos!$E$28/Población!$S$57*1000</f>
        <v>45.721796864505976</v>
      </c>
      <c r="F57" s="14">
        <f>[313]NºAsuntos!$E$31/Población!$S$57*1000</f>
        <v>2.0589872008903729</v>
      </c>
      <c r="G57" s="14">
        <f>[313]NºAsuntos!$E$35/Población!$S$57*1000</f>
        <v>8.013355592654424</v>
      </c>
    </row>
    <row r="58" spans="2:7" ht="20.100000000000001" customHeight="1" thickBot="1" x14ac:dyDescent="0.25">
      <c r="B58" s="9" t="s">
        <v>76</v>
      </c>
      <c r="C58" s="14">
        <f>[314]NºAsuntos!$E$36/Población!$S$58*1000</f>
        <v>104.39448941399291</v>
      </c>
      <c r="D58" s="14">
        <f>[314]NºAsuntos!$E$17/Población!$S$58*1000</f>
        <v>43.888525625126832</v>
      </c>
      <c r="E58" s="14">
        <f>[314]NºAsuntos!$E$28/Población!$S$58*1000</f>
        <v>51.571554192690137</v>
      </c>
      <c r="F58" s="14">
        <f>[314]NºAsuntos!$E$31/Población!$S$58*1000</f>
        <v>2.0067191269644424</v>
      </c>
      <c r="G58" s="14">
        <f>[314]NºAsuntos!$E$35/Población!$S$58*1000</f>
        <v>6.9276904692115169</v>
      </c>
    </row>
    <row r="59" spans="2:7" ht="20.100000000000001" customHeight="1" thickBot="1" x14ac:dyDescent="0.25">
      <c r="B59" s="9" t="s">
        <v>77</v>
      </c>
      <c r="C59" s="14">
        <f>[315]NºAsuntos!$E$36/Población!$S$59*1000</f>
        <v>114.48411408243015</v>
      </c>
      <c r="D59" s="14">
        <f>[315]NºAsuntos!$E$17/Población!$S$59*1000</f>
        <v>42.123324306806815</v>
      </c>
      <c r="E59" s="14">
        <f>[315]NºAsuntos!$E$28/Población!$S$59*1000</f>
        <v>63.468157896392817</v>
      </c>
      <c r="F59" s="14">
        <f>[315]NºAsuntos!$E$31/Población!$S$59*1000</f>
        <v>2.1112003742058087</v>
      </c>
      <c r="G59" s="14">
        <f>[315]NºAsuntos!$E$35/Población!$S$59*1000</f>
        <v>6.7814315050247203</v>
      </c>
    </row>
    <row r="60" spans="2:7" ht="20.100000000000001" customHeight="1" thickBot="1" x14ac:dyDescent="0.25">
      <c r="B60" s="9" t="s">
        <v>78</v>
      </c>
      <c r="C60" s="14">
        <f>[316]NºAsuntos!$E$61/Población!$S$60*1000</f>
        <v>184.00640308854861</v>
      </c>
      <c r="D60" s="14">
        <f>[316]NºAsuntos!$E$21/Población!$S$60*1000</f>
        <v>43.173766169564146</v>
      </c>
      <c r="E60" s="14">
        <f>[316]NºAsuntos!$E$40/Población!$S$60*1000</f>
        <v>116.26784684377169</v>
      </c>
      <c r="F60" s="14">
        <f>[316]NºAsuntos!$E$47/Población!$S$60*1000</f>
        <v>17.208300474346451</v>
      </c>
      <c r="G60" s="14">
        <f>[316]NºAsuntos!$E$54/Población!$S$60*1000</f>
        <v>7.3564896008663005</v>
      </c>
    </row>
    <row r="61" spans="2:7" ht="20.100000000000001" customHeight="1" thickBot="1" x14ac:dyDescent="0.25">
      <c r="B61" s="9" t="s">
        <v>79</v>
      </c>
      <c r="C61" s="14">
        <f>[317]NºAsuntos!$E$61/Población!$S$61*1000</f>
        <v>149.04784022294473</v>
      </c>
      <c r="D61" s="14">
        <f>[317]NºAsuntos!$E$21/Población!$S$61*1000</f>
        <v>34.138411518810962</v>
      </c>
      <c r="E61" s="14">
        <f>[317]NºAsuntos!$E$40/Población!$S$61*1000</f>
        <v>94.472828611240132</v>
      </c>
      <c r="F61" s="14">
        <f>[317]NºAsuntos!$E$47/Población!$S$61*1000</f>
        <v>13.678588016720854</v>
      </c>
      <c r="G61" s="14">
        <f>[317]NºAsuntos!$E$54/Población!$S$61*1000</f>
        <v>6.7580120761727827</v>
      </c>
    </row>
    <row r="62" spans="2:7" ht="20.100000000000001" customHeight="1" thickBot="1" x14ac:dyDescent="0.25">
      <c r="B62" s="12" t="s">
        <v>6</v>
      </c>
      <c r="C62" s="15">
        <f>[318]NºAsuntos!$E$60/Población!$S$62*1000</f>
        <v>126.16744709046174</v>
      </c>
      <c r="D62" s="15">
        <f>[318]NºAsuntos!$E$20/Población!$S$62*1000</f>
        <v>43.838813305776945</v>
      </c>
      <c r="E62" s="15">
        <f>[318]NºAsuntos!$E$39/Población!$S$62*1000</f>
        <v>69.423426868239574</v>
      </c>
      <c r="F62" s="15">
        <f>[318]NºAsuntos!$E$46/Población!$S$62*1000</f>
        <v>4.2071941220127087</v>
      </c>
      <c r="G62" s="15">
        <f>[318]NºAsuntos!$E$53/Población!$S$62*1000</f>
        <v>8.6931815790610578</v>
      </c>
    </row>
  </sheetData>
  <pageMargins left="0.75" right="0.75" top="1" bottom="1" header="0" footer="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3"/>
  <dimension ref="B8:H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1.42578125" style="1"/>
  </cols>
  <sheetData>
    <row r="8" spans="2:8" ht="13.5" thickBot="1" x14ac:dyDescent="0.25"/>
    <row r="9" spans="2:8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8" ht="20.100000000000001" customHeight="1" thickBot="1" x14ac:dyDescent="0.25">
      <c r="B10" s="9" t="s">
        <v>31</v>
      </c>
      <c r="C10" s="14">
        <f>[319]NºAsuntos!$E$36/Población!$R$10*1000</f>
        <v>93.165832734023937</v>
      </c>
      <c r="D10" s="14">
        <f>[319]NºAsuntos!$E$17/Población!$R$10*1000</f>
        <v>37.343350726056954</v>
      </c>
      <c r="E10" s="14">
        <f>[319]NºAsuntos!$E$28/Población!$R$10*1000</f>
        <v>47.169474494922447</v>
      </c>
      <c r="F10" s="14">
        <f>[319]NºAsuntos!$E$31/Población!$R$10*1000</f>
        <v>1.9687951075951626</v>
      </c>
      <c r="G10" s="14">
        <f>[319]NºAsuntos!$E$35/Población!$R$10*1000</f>
        <v>6.6842124054493803</v>
      </c>
      <c r="H10" s="3"/>
    </row>
    <row r="11" spans="2:8" ht="20.100000000000001" customHeight="1" thickBot="1" x14ac:dyDescent="0.25">
      <c r="B11" s="9" t="s">
        <v>32</v>
      </c>
      <c r="C11" s="14">
        <f>[320]NºAsuntos!$E$36/Población!$R$11*1000</f>
        <v>116.80794398350304</v>
      </c>
      <c r="D11" s="14">
        <f>[320]NºAsuntos!$E$17/Población!$R$11*1000</f>
        <v>43.040438147543725</v>
      </c>
      <c r="E11" s="14">
        <f>[320]NºAsuntos!$E$28/Población!$R$11*1000</f>
        <v>66.367395079334742</v>
      </c>
      <c r="F11" s="14">
        <f>[320]NºAsuntos!$E$31/Población!$R$11*1000</f>
        <v>1.9319788789186145</v>
      </c>
      <c r="G11" s="14">
        <f>[320]NºAsuntos!$E$35/Población!$R$11*1000</f>
        <v>5.4681318777059547</v>
      </c>
      <c r="H11" s="3"/>
    </row>
    <row r="12" spans="2:8" ht="20.100000000000001" customHeight="1" thickBot="1" x14ac:dyDescent="0.25">
      <c r="B12" s="9" t="s">
        <v>33</v>
      </c>
      <c r="C12" s="14">
        <f>[321]NºAsuntos!$E$36/Población!$R$12*1000</f>
        <v>129.15431983949955</v>
      </c>
      <c r="D12" s="14">
        <f>[321]NºAsuntos!$E$17/Población!$R$12*1000</f>
        <v>39.564274730688901</v>
      </c>
      <c r="E12" s="14">
        <f>[321]NºAsuntos!$E$28/Población!$R$12*1000</f>
        <v>78.182925669142421</v>
      </c>
      <c r="F12" s="14">
        <f>[321]NºAsuntos!$E$31/Población!$R$12*1000</f>
        <v>4.905600904164011</v>
      </c>
      <c r="G12" s="14">
        <f>[321]NºAsuntos!$E$35/Población!$R$12*1000</f>
        <v>6.5015185355041982</v>
      </c>
      <c r="H12" s="3"/>
    </row>
    <row r="13" spans="2:8" ht="20.100000000000001" customHeight="1" thickBot="1" x14ac:dyDescent="0.25">
      <c r="B13" s="9" t="s">
        <v>34</v>
      </c>
      <c r="C13" s="14">
        <f>[322]NºAsuntos!$E$36/Población!$R$13*1000</f>
        <v>85.078025212417387</v>
      </c>
      <c r="D13" s="14">
        <f>[322]NºAsuntos!$E$17/Población!$R$13*1000</f>
        <v>34.862985382227905</v>
      </c>
      <c r="E13" s="14">
        <f>[322]NºAsuntos!$E$28/Población!$R$13*1000</f>
        <v>37.689046852150092</v>
      </c>
      <c r="F13" s="14">
        <f>[322]NºAsuntos!$E$31/Población!$R$13*1000</f>
        <v>4.0508937882181622</v>
      </c>
      <c r="G13" s="14">
        <f>[322]NºAsuntos!$E$35/Población!$R$13*1000</f>
        <v>8.4750991898212416</v>
      </c>
      <c r="H13" s="3"/>
    </row>
    <row r="14" spans="2:8" ht="20.100000000000001" customHeight="1" thickBot="1" x14ac:dyDescent="0.25">
      <c r="B14" s="9" t="s">
        <v>35</v>
      </c>
      <c r="C14" s="14">
        <f>[323]NºAsuntos!$E$36/Población!$R$14*1000</f>
        <v>114.30374599082302</v>
      </c>
      <c r="D14" s="14">
        <f>[323]NºAsuntos!$E$17/Población!$R$14*1000</f>
        <v>45.038979175298863</v>
      </c>
      <c r="E14" s="14">
        <f>[323]NºAsuntos!$E$28/Población!$R$14*1000</f>
        <v>56.905375750042204</v>
      </c>
      <c r="F14" s="14">
        <f>[323]NºAsuntos!$E$31/Población!$R$14*1000</f>
        <v>2.2472492058376687</v>
      </c>
      <c r="G14" s="14">
        <f>[323]NºAsuntos!$E$35/Población!$R$14*1000</f>
        <v>10.112141859644277</v>
      </c>
      <c r="H14" s="3"/>
    </row>
    <row r="15" spans="2:8" ht="20.100000000000001" customHeight="1" thickBot="1" x14ac:dyDescent="0.25">
      <c r="B15" s="9" t="s">
        <v>36</v>
      </c>
      <c r="C15" s="14">
        <f>[324]NºAsuntos!$E$36/Población!$R$15*1000</f>
        <v>100.75439654429773</v>
      </c>
      <c r="D15" s="14">
        <f>[324]NºAsuntos!$E$17/Población!$R$15*1000</f>
        <v>43.276271582755946</v>
      </c>
      <c r="E15" s="14">
        <f>[324]NºAsuntos!$E$28/Población!$R$15*1000</f>
        <v>52.617005304158411</v>
      </c>
      <c r="F15" s="14">
        <f>[324]NºAsuntos!$E$31/Población!$R$15*1000</f>
        <v>1.3106563126869071</v>
      </c>
      <c r="G15" s="14">
        <f>[324]NºAsuntos!$E$35/Población!$R$15*1000</f>
        <v>3.5504633446964569</v>
      </c>
      <c r="H15" s="3"/>
    </row>
    <row r="16" spans="2:8" ht="20.100000000000001" customHeight="1" thickBot="1" x14ac:dyDescent="0.25">
      <c r="B16" s="9" t="s">
        <v>37</v>
      </c>
      <c r="C16" s="14">
        <f>[325]NºAsuntos!$E$36/Población!$R$16*1000</f>
        <v>98.312705649505276</v>
      </c>
      <c r="D16" s="14">
        <f>[325]NºAsuntos!$E$17/Población!$R$16*1000</f>
        <v>33.595327087776433</v>
      </c>
      <c r="E16" s="14">
        <f>[325]NºAsuntos!$E$28/Población!$R$16*1000</f>
        <v>58.538574767618798</v>
      </c>
      <c r="F16" s="14">
        <f>[325]NºAsuntos!$E$31/Población!$R$16*1000</f>
        <v>1.5552986129484456</v>
      </c>
      <c r="G16" s="14">
        <f>[325]NºAsuntos!$E$35/Población!$R$16*1000</f>
        <v>4.6235051811615921</v>
      </c>
      <c r="H16" s="3"/>
    </row>
    <row r="17" spans="2:8" ht="20.100000000000001" customHeight="1" thickBot="1" x14ac:dyDescent="0.25">
      <c r="B17" s="9" t="s">
        <v>29</v>
      </c>
      <c r="C17" s="14">
        <f>[326]NºAsuntos!$E$36/Población!$R$17*1000</f>
        <v>127.64942829789925</v>
      </c>
      <c r="D17" s="14">
        <f>[326]NºAsuntos!$E$17/Población!$R$17*1000</f>
        <v>43.454778634778989</v>
      </c>
      <c r="E17" s="14">
        <f>[326]NºAsuntos!$E$28/Población!$R$17*1000</f>
        <v>76.914253716515233</v>
      </c>
      <c r="F17" s="14">
        <f>[326]NºAsuntos!$E$31/Población!$R$17*1000</f>
        <v>1.7665865862249597</v>
      </c>
      <c r="G17" s="14">
        <f>[326]NºAsuntos!$E$35/Población!$R$17*1000</f>
        <v>5.5138093603800513</v>
      </c>
      <c r="H17" s="3"/>
    </row>
    <row r="18" spans="2:8" ht="20.100000000000001" customHeight="1" thickBot="1" x14ac:dyDescent="0.25">
      <c r="B18" s="9" t="s">
        <v>38</v>
      </c>
      <c r="C18" s="14">
        <f>[327]NºAsuntos!$E$36/Población!$R$18*1000</f>
        <v>105.93214834700902</v>
      </c>
      <c r="D18" s="14">
        <f>[327]NºAsuntos!$E$17/Población!$R$18*1000</f>
        <v>38.796935778359931</v>
      </c>
      <c r="E18" s="14">
        <f>[327]NºAsuntos!$E$28/Población!$R$18*1000</f>
        <v>58.366530270555039</v>
      </c>
      <c r="F18" s="14">
        <f>[327]NºAsuntos!$E$31/Población!$R$18*1000</f>
        <v>1.4723924166648625</v>
      </c>
      <c r="G18" s="14">
        <f>[327]NºAsuntos!$E$35/Población!$R$18*1000</f>
        <v>7.2962898814292005</v>
      </c>
      <c r="H18" s="3"/>
    </row>
    <row r="19" spans="2:8" ht="20.100000000000001" customHeight="1" thickBot="1" x14ac:dyDescent="0.25">
      <c r="B19" s="9" t="s">
        <v>39</v>
      </c>
      <c r="C19" s="14">
        <f>[328]NºAsuntos!$E$36/Población!$R$19*1000</f>
        <v>84.153032130333855</v>
      </c>
      <c r="D19" s="14">
        <f>[328]NºAsuntos!$E$17/Población!$R$19*1000</f>
        <v>34.063974847853217</v>
      </c>
      <c r="E19" s="14">
        <f>[328]NºAsuntos!$E$28/Población!$R$19*1000</f>
        <v>38.856685744560707</v>
      </c>
      <c r="F19" s="14">
        <f>[328]NºAsuntos!$E$31/Población!$R$19*1000</f>
        <v>2.3919984384476494</v>
      </c>
      <c r="G19" s="14">
        <f>[328]NºAsuntos!$E$35/Población!$R$19*1000</f>
        <v>8.8403730994722789</v>
      </c>
      <c r="H19" s="3"/>
    </row>
    <row r="20" spans="2:8" ht="20.100000000000001" customHeight="1" thickBot="1" x14ac:dyDescent="0.25">
      <c r="B20" s="9" t="s">
        <v>40</v>
      </c>
      <c r="C20" s="14">
        <f>[329]NºAsuntos!$E$36/Población!$R$20*1000</f>
        <v>104.45297026274602</v>
      </c>
      <c r="D20" s="14">
        <f>[329]NºAsuntos!$E$17/Población!$R$20*1000</f>
        <v>40.742946578207459</v>
      </c>
      <c r="E20" s="14">
        <f>[329]NºAsuntos!$E$28/Población!$R$20*1000</f>
        <v>54.884416681671489</v>
      </c>
      <c r="F20" s="14">
        <f>[329]NºAsuntos!$E$31/Población!$R$20*1000</f>
        <v>2.1883959611628971</v>
      </c>
      <c r="G20" s="14">
        <f>[329]NºAsuntos!$E$35/Población!$R$20*1000</f>
        <v>6.6372110417041785</v>
      </c>
      <c r="H20" s="3"/>
    </row>
    <row r="21" spans="2:8" ht="20.100000000000001" customHeight="1" thickBot="1" x14ac:dyDescent="0.25">
      <c r="B21" s="9" t="s">
        <v>41</v>
      </c>
      <c r="C21" s="14">
        <f>[330]NºAsuntos!$E$36/Población!$R$21*1000</f>
        <v>92.244806956263233</v>
      </c>
      <c r="D21" s="14">
        <f>[330]NºAsuntos!$E$17/Población!$R$21*1000</f>
        <v>37.09016139620725</v>
      </c>
      <c r="E21" s="14">
        <f>[330]NºAsuntos!$E$28/Población!$R$21*1000</f>
        <v>49.699627166090693</v>
      </c>
      <c r="F21" s="14">
        <f>[330]NºAsuntos!$E$31/Población!$R$21*1000</f>
        <v>1.6201553268180298</v>
      </c>
      <c r="G21" s="14">
        <f>[330]NºAsuntos!$E$35/Población!$R$21*1000</f>
        <v>3.8348630671472632</v>
      </c>
      <c r="H21" s="3"/>
    </row>
    <row r="22" spans="2:8" ht="20.100000000000001" customHeight="1" thickBot="1" x14ac:dyDescent="0.25">
      <c r="B22" s="9" t="s">
        <v>42</v>
      </c>
      <c r="C22" s="14">
        <f>[331]NºAsuntos!$E$36/Población!$R$22*1000</f>
        <v>133.2159572348815</v>
      </c>
      <c r="D22" s="14">
        <f>[331]NºAsuntos!$E$17/Población!$R$22*1000</f>
        <v>39.755171632299344</v>
      </c>
      <c r="E22" s="14">
        <f>[331]NºAsuntos!$E$28/Población!$R$22*1000</f>
        <v>81.166943169912798</v>
      </c>
      <c r="F22" s="14">
        <f>[331]NºAsuntos!$E$31/Población!$R$22*1000</f>
        <v>6.0642525258309412</v>
      </c>
      <c r="G22" s="14">
        <f>[331]NºAsuntos!$E$35/Población!$R$22*1000</f>
        <v>6.2295899068384353</v>
      </c>
      <c r="H22" s="3"/>
    </row>
    <row r="23" spans="2:8" ht="20.100000000000001" customHeight="1" thickBot="1" x14ac:dyDescent="0.25">
      <c r="B23" s="9" t="s">
        <v>5</v>
      </c>
      <c r="C23" s="14">
        <f>[332]NºAsuntos!$E$36/Población!$R$23*1000</f>
        <v>117.02387127580273</v>
      </c>
      <c r="D23" s="14">
        <f>[332]NºAsuntos!$E$17/Población!$R$23*1000</f>
        <v>48.934569550983674</v>
      </c>
      <c r="E23" s="14">
        <f>[332]NºAsuntos!$E$28/Población!$R$23*1000</f>
        <v>58.297234999295782</v>
      </c>
      <c r="F23" s="14">
        <f>[332]NºAsuntos!$E$31/Población!$R$23*1000</f>
        <v>1.8928008299467887</v>
      </c>
      <c r="G23" s="14">
        <f>[332]NºAsuntos!$E$35/Población!$R$23*1000</f>
        <v>7.8992658955764803</v>
      </c>
      <c r="H23" s="3"/>
    </row>
    <row r="24" spans="2:8" ht="20.100000000000001" customHeight="1" thickBot="1" x14ac:dyDescent="0.25">
      <c r="B24" s="9" t="s">
        <v>43</v>
      </c>
      <c r="C24" s="14">
        <f>[333]NºAsuntos!$E$36/Población!$R$24*1000</f>
        <v>112.26683009779973</v>
      </c>
      <c r="D24" s="14">
        <f>[333]NºAsuntos!$E$17/Población!$R$24*1000</f>
        <v>42.550216229747342</v>
      </c>
      <c r="E24" s="14">
        <f>[333]NºAsuntos!$E$28/Población!$R$24*1000</f>
        <v>60.561593108270252</v>
      </c>
      <c r="F24" s="14">
        <f>[333]NºAsuntos!$E$31/Población!$R$24*1000</f>
        <v>2.4687308479140948</v>
      </c>
      <c r="G24" s="14">
        <f>[333]NºAsuntos!$E$35/Población!$R$24*1000</f>
        <v>6.6862899118680348</v>
      </c>
      <c r="H24" s="3"/>
    </row>
    <row r="25" spans="2:8" ht="20.100000000000001" customHeight="1" thickBot="1" x14ac:dyDescent="0.25">
      <c r="B25" s="9" t="s">
        <v>44</v>
      </c>
      <c r="C25" s="14">
        <f>[334]NºAsuntos!$E$36/Población!$R$25*1000</f>
        <v>104.30706586070296</v>
      </c>
      <c r="D25" s="14">
        <f>[334]NºAsuntos!$E$17/Población!$R$25*1000</f>
        <v>34.755212196777201</v>
      </c>
      <c r="E25" s="14">
        <f>[334]NºAsuntos!$E$28/Población!$R$25*1000</f>
        <v>62.431937627247045</v>
      </c>
      <c r="F25" s="14">
        <f>[334]NºAsuntos!$E$31/Población!$R$25*1000</f>
        <v>1.5762850965104718</v>
      </c>
      <c r="G25" s="14">
        <f>[334]NºAsuntos!$E$35/Población!$R$25*1000</f>
        <v>5.5436309401682422</v>
      </c>
      <c r="H25" s="3"/>
    </row>
    <row r="26" spans="2:8" ht="20.100000000000001" customHeight="1" thickBot="1" x14ac:dyDescent="0.25">
      <c r="B26" s="9" t="s">
        <v>45</v>
      </c>
      <c r="C26" s="14">
        <f>[335]NºAsuntos!$E$36/Población!$R$26*1000</f>
        <v>119.23800861535352</v>
      </c>
      <c r="D26" s="14">
        <f>[335]NºAsuntos!$E$17/Población!$R$26*1000</f>
        <v>34.107704551483685</v>
      </c>
      <c r="E26" s="14">
        <f>[335]NºAsuntos!$E$28/Población!$R$26*1000</f>
        <v>75.935119566453167</v>
      </c>
      <c r="F26" s="14">
        <f>[335]NºAsuntos!$E$31/Población!$R$26*1000</f>
        <v>4.1093467742954237</v>
      </c>
      <c r="G26" s="14">
        <f>[335]NºAsuntos!$E$35/Población!$R$26*1000</f>
        <v>5.0858377231212337</v>
      </c>
      <c r="H26" s="3"/>
    </row>
    <row r="27" spans="2:8" ht="20.100000000000001" customHeight="1" thickBot="1" x14ac:dyDescent="0.25">
      <c r="B27" s="9" t="s">
        <v>46</v>
      </c>
      <c r="C27" s="14">
        <f>[336]NºAsuntos!$E$36/Población!$R$27*1000</f>
        <v>103.89303873622973</v>
      </c>
      <c r="D27" s="14">
        <f>[336]NºAsuntos!$E$17/Población!$R$27*1000</f>
        <v>40.404382262542093</v>
      </c>
      <c r="E27" s="14">
        <f>[336]NºAsuntos!$E$28/Población!$R$27*1000</f>
        <v>51.403679554399318</v>
      </c>
      <c r="F27" s="14">
        <f>[336]NºAsuntos!$E$31/Población!$R$27*1000</f>
        <v>2.6718940789936578</v>
      </c>
      <c r="G27" s="14">
        <f>[336]NºAsuntos!$E$35/Población!$R$27*1000</f>
        <v>9.4130828402946563</v>
      </c>
      <c r="H27" s="3"/>
    </row>
    <row r="28" spans="2:8" ht="20.100000000000001" customHeight="1" thickBot="1" x14ac:dyDescent="0.25">
      <c r="B28" s="9" t="s">
        <v>47</v>
      </c>
      <c r="C28" s="14">
        <f>[337]NºAsuntos!$E$36/Población!$R$28*1000</f>
        <v>90.062714165642987</v>
      </c>
      <c r="D28" s="14">
        <f>[337]NºAsuntos!$E$17/Población!$R$28*1000</f>
        <v>30.780172177986881</v>
      </c>
      <c r="E28" s="14">
        <f>[337]NºAsuntos!$E$28/Población!$R$28*1000</f>
        <v>51.842384033500601</v>
      </c>
      <c r="F28" s="14">
        <f>[337]NºAsuntos!$E$31/Población!$R$28*1000</f>
        <v>2.6706984100143734</v>
      </c>
      <c r="G28" s="14">
        <f>[337]NºAsuntos!$E$35/Población!$R$28*1000</f>
        <v>4.7694595441411236</v>
      </c>
    </row>
    <row r="29" spans="2:8" ht="20.100000000000001" customHeight="1" thickBot="1" x14ac:dyDescent="0.25">
      <c r="B29" s="9" t="s">
        <v>48</v>
      </c>
      <c r="C29" s="14">
        <f>[338]NºAsuntos!$E$36/Población!$R$10*1000</f>
        <v>134.79360804655741</v>
      </c>
      <c r="D29" s="14">
        <f>[338]NºAsuntos!$E$17/Población!$R$10*1000</f>
        <v>44.313191437271435</v>
      </c>
      <c r="E29" s="14">
        <f>[338]NºAsuntos!$E$28/Población!$R$10*1000</f>
        <v>76.084239948178862</v>
      </c>
      <c r="F29" s="14">
        <f>[338]NºAsuntos!$E$31/Población!$R$10*1000</f>
        <v>3.8279293477983667</v>
      </c>
      <c r="G29" s="14">
        <f>[338]NºAsuntos!$E$35/Población!$R$10*1000</f>
        <v>10.568247313308747</v>
      </c>
    </row>
    <row r="30" spans="2:8" ht="20.100000000000001" customHeight="1" thickBot="1" x14ac:dyDescent="0.25">
      <c r="B30" s="9" t="s">
        <v>49</v>
      </c>
      <c r="C30" s="14">
        <f>[339]NºAsuntos!$E$36/Población!$R$30*1000</f>
        <v>102.44222215144856</v>
      </c>
      <c r="D30" s="14">
        <f>[339]NºAsuntos!$E$17/Población!$R$30*1000</f>
        <v>33.460460524220515</v>
      </c>
      <c r="E30" s="14">
        <f>[339]NºAsuntos!$E$28/Población!$R$30*1000</f>
        <v>62.955826618682124</v>
      </c>
      <c r="F30" s="14">
        <f>[339]NºAsuntos!$E$31/Población!$R$30*1000</f>
        <v>1.613639500196397</v>
      </c>
      <c r="G30" s="14">
        <f>[339]NºAsuntos!$E$35/Población!$R$30*1000</f>
        <v>4.4122955083495228</v>
      </c>
    </row>
    <row r="31" spans="2:8" ht="20.100000000000001" customHeight="1" thickBot="1" x14ac:dyDescent="0.25">
      <c r="B31" s="9" t="s">
        <v>50</v>
      </c>
      <c r="C31" s="14">
        <f>[340]NºAsuntos!$E$36/Población!$R$31*1000</f>
        <v>160.09971684262041</v>
      </c>
      <c r="D31" s="14">
        <f>[340]NºAsuntos!$E$17/Población!$R$31*1000</f>
        <v>42.307557854995459</v>
      </c>
      <c r="E31" s="14">
        <f>[340]NºAsuntos!$E$28/Población!$R$31*1000</f>
        <v>105.21175627490736</v>
      </c>
      <c r="F31" s="14">
        <f>[340]NºAsuntos!$E$31/Población!$R$31*1000</f>
        <v>4.0834964692721805</v>
      </c>
      <c r="G31" s="14">
        <f>[340]NºAsuntos!$E$35/Población!$R$31*1000</f>
        <v>8.4969062434454301</v>
      </c>
    </row>
    <row r="32" spans="2:8" ht="20.100000000000001" customHeight="1" thickBot="1" x14ac:dyDescent="0.25">
      <c r="B32" s="9" t="s">
        <v>51</v>
      </c>
      <c r="C32" s="14">
        <f>[341]NºAsuntos!$E$36/Población!$R$32*1000</f>
        <v>94.510483150243985</v>
      </c>
      <c r="D32" s="14">
        <f>[341]NºAsuntos!$E$17/Población!$R$32*1000</f>
        <v>33.244754470464486</v>
      </c>
      <c r="E32" s="14">
        <f>[341]NºAsuntos!$E$28/Población!$R$32*1000</f>
        <v>52.071717243615595</v>
      </c>
      <c r="F32" s="14">
        <f>[341]NºAsuntos!$E$31/Población!$R$32*1000</f>
        <v>2.1551553689072374</v>
      </c>
      <c r="G32" s="14">
        <f>[341]NºAsuntos!$E$35/Población!$R$32*1000</f>
        <v>7.0388560672566651</v>
      </c>
    </row>
    <row r="33" spans="2:7" ht="20.100000000000001" customHeight="1" thickBot="1" x14ac:dyDescent="0.25">
      <c r="B33" s="9" t="s">
        <v>52</v>
      </c>
      <c r="C33" s="14">
        <f>[342]NºAsuntos!$E$36/Población!$R$33*1000</f>
        <v>131.6080185374791</v>
      </c>
      <c r="D33" s="14">
        <f>[342]NºAsuntos!$E$17/Población!$R$33*1000</f>
        <v>37.082656525454397</v>
      </c>
      <c r="E33" s="14">
        <f>[342]NºAsuntos!$E$28/Población!$R$33*1000</f>
        <v>82.623807727542172</v>
      </c>
      <c r="F33" s="14">
        <f>[342]NºAsuntos!$E$31/Población!$R$33*1000</f>
        <v>4.7921846973417814</v>
      </c>
      <c r="G33" s="14">
        <f>[342]NºAsuntos!$E$35/Población!$R$33*1000</f>
        <v>7.1093695871407787</v>
      </c>
    </row>
    <row r="34" spans="2:7" ht="20.100000000000001" customHeight="1" thickBot="1" x14ac:dyDescent="0.25">
      <c r="B34" s="9" t="s">
        <v>53</v>
      </c>
      <c r="C34" s="14">
        <f>[343]NºAsuntos!$E$36/Población!$R$34*1000</f>
        <v>93.048186394908612</v>
      </c>
      <c r="D34" s="14">
        <f>[343]NºAsuntos!$E$17/Población!$R$34*1000</f>
        <v>32.35495004048326</v>
      </c>
      <c r="E34" s="14">
        <f>[343]NºAsuntos!$E$28/Población!$R$34*1000</f>
        <v>54.71799673419909</v>
      </c>
      <c r="F34" s="14">
        <f>[343]NºAsuntos!$E$31/Población!$R$34*1000</f>
        <v>2.6325431180709158</v>
      </c>
      <c r="G34" s="14">
        <f>[343]NºAsuntos!$E$35/Población!$R$34*1000</f>
        <v>3.3426965021553383</v>
      </c>
    </row>
    <row r="35" spans="2:7" ht="20.100000000000001" customHeight="1" thickBot="1" x14ac:dyDescent="0.25">
      <c r="B35" s="9" t="s">
        <v>54</v>
      </c>
      <c r="C35" s="14">
        <f>[344]NºAsuntos!$E$36/Población!$R$35*1000</f>
        <v>116.41959120709602</v>
      </c>
      <c r="D35" s="14">
        <f>[344]NºAsuntos!$E$17/Población!$R$35*1000</f>
        <v>32.91785576552256</v>
      </c>
      <c r="E35" s="14">
        <f>[344]NºAsuntos!$E$28/Población!$R$35*1000</f>
        <v>72.25453143077516</v>
      </c>
      <c r="F35" s="14">
        <f>[344]NºAsuntos!$E$31/Población!$R$35*1000</f>
        <v>7.0821442344774397</v>
      </c>
      <c r="G35" s="14">
        <f>[344]NºAsuntos!$E$35/Población!$R$35*1000</f>
        <v>4.1650597763208639</v>
      </c>
    </row>
    <row r="36" spans="2:7" ht="20.100000000000001" customHeight="1" thickBot="1" x14ac:dyDescent="0.25">
      <c r="B36" s="9" t="s">
        <v>55</v>
      </c>
      <c r="C36" s="14">
        <f>[345]NºAsuntos!$E$36/Población!$R$36*1000</f>
        <v>110.07719529395867</v>
      </c>
      <c r="D36" s="14">
        <f>[345]NºAsuntos!$E$17/Población!$R$36*1000</f>
        <v>45.597165564480029</v>
      </c>
      <c r="E36" s="14">
        <f>[345]NºAsuntos!$E$28/Población!$R$36*1000</f>
        <v>53.145665999442571</v>
      </c>
      <c r="F36" s="14">
        <f>[345]NºAsuntos!$E$31/Población!$R$36*1000</f>
        <v>2.0396787189297387</v>
      </c>
      <c r="G36" s="14">
        <f>[345]NºAsuntos!$E$35/Población!$R$36*1000</f>
        <v>9.2946850111063242</v>
      </c>
    </row>
    <row r="37" spans="2:7" ht="20.100000000000001" customHeight="1" thickBot="1" x14ac:dyDescent="0.25">
      <c r="B37" s="9" t="s">
        <v>56</v>
      </c>
      <c r="C37" s="14">
        <f>[346]NºAsuntos!$E$36/Población!$R$37*1000</f>
        <v>91.60194543833417</v>
      </c>
      <c r="D37" s="14">
        <f>[346]NºAsuntos!$E$17/Población!$R$37*1000</f>
        <v>32.513057522215647</v>
      </c>
      <c r="E37" s="14">
        <f>[346]NºAsuntos!$E$28/Población!$R$37*1000</f>
        <v>53.930389064627533</v>
      </c>
      <c r="F37" s="14">
        <f>[346]NºAsuntos!$E$31/Población!$R$37*1000</f>
        <v>1.2855928356998532</v>
      </c>
      <c r="G37" s="14">
        <f>[346]NºAsuntos!$E$35/Población!$R$37*1000</f>
        <v>3.872906015791135</v>
      </c>
    </row>
    <row r="38" spans="2:7" ht="20.100000000000001" customHeight="1" thickBot="1" x14ac:dyDescent="0.25">
      <c r="B38" s="9" t="s">
        <v>57</v>
      </c>
      <c r="C38" s="14">
        <f>[347]NºAsuntos!$E$36/Población!$R$38*1000</f>
        <v>106.26190469115406</v>
      </c>
      <c r="D38" s="14">
        <f>[347]NºAsuntos!$E$17/Población!$R$38*1000</f>
        <v>38.163356877754239</v>
      </c>
      <c r="E38" s="14">
        <f>[347]NºAsuntos!$E$28/Población!$R$38*1000</f>
        <v>56.257001667028206</v>
      </c>
      <c r="F38" s="14">
        <f>[347]NºAsuntos!$E$31/Población!$R$38*1000</f>
        <v>2.8615831716325886</v>
      </c>
      <c r="G38" s="14">
        <f>[347]NºAsuntos!$E$35/Población!$R$38*1000</f>
        <v>8.9799629747390242</v>
      </c>
    </row>
    <row r="39" spans="2:7" ht="20.100000000000001" customHeight="1" thickBot="1" x14ac:dyDescent="0.25">
      <c r="B39" s="9" t="s">
        <v>58</v>
      </c>
      <c r="C39" s="14">
        <f>[348]NºAsuntos!$E$36/Población!$R$39*1000</f>
        <v>117.64426636416661</v>
      </c>
      <c r="D39" s="14">
        <f>[348]NºAsuntos!$E$17/Población!$R$39*1000</f>
        <v>41.957502370497835</v>
      </c>
      <c r="E39" s="14">
        <f>[348]NºAsuntos!$E$28/Población!$R$39*1000</f>
        <v>65.121425774811058</v>
      </c>
      <c r="F39" s="14">
        <f>[348]NºAsuntos!$E$31/Población!$R$39*1000</f>
        <v>2.4714720714223422</v>
      </c>
      <c r="G39" s="14">
        <f>[348]NºAsuntos!$E$35/Población!$R$39*1000</f>
        <v>8.0938661474353779</v>
      </c>
    </row>
    <row r="40" spans="2:7" ht="20.100000000000001" customHeight="1" thickBot="1" x14ac:dyDescent="0.25">
      <c r="B40" s="9" t="s">
        <v>59</v>
      </c>
      <c r="C40" s="14">
        <f>[349]NºAsuntos!$E$36/Población!$R$40*1000</f>
        <v>169.90568944416555</v>
      </c>
      <c r="D40" s="14">
        <f>[349]NºAsuntos!$E$17/Población!$R$40*1000</f>
        <v>44.956171308133932</v>
      </c>
      <c r="E40" s="14">
        <f>[349]NºAsuntos!$E$28/Población!$R$40*1000</f>
        <v>113.65140078733295</v>
      </c>
      <c r="F40" s="14">
        <f>[349]NºAsuntos!$E$31/Población!$R$40*1000</f>
        <v>3.8421455129755269</v>
      </c>
      <c r="G40" s="14">
        <f>[349]NºAsuntos!$E$35/Población!$R$40*1000</f>
        <v>7.4559718357231155</v>
      </c>
    </row>
    <row r="41" spans="2:7" ht="20.100000000000001" customHeight="1" thickBot="1" x14ac:dyDescent="0.25">
      <c r="B41" s="9" t="s">
        <v>60</v>
      </c>
      <c r="C41" s="14">
        <f>[350]NºAsuntos!$E$36/Población!$R$41*1000</f>
        <v>122.00796397166394</v>
      </c>
      <c r="D41" s="14">
        <f>[350]NºAsuntos!$E$17/Población!$R$41*1000</f>
        <v>42.398284599005905</v>
      </c>
      <c r="E41" s="14">
        <f>[350]NºAsuntos!$E$28/Población!$R$41*1000</f>
        <v>70.726157748898004</v>
      </c>
      <c r="F41" s="14">
        <f>[350]NºAsuntos!$E$31/Población!$R$41*1000</f>
        <v>2.8910869189751556</v>
      </c>
      <c r="G41" s="14">
        <f>[350]NºAsuntos!$E$35/Población!$R$41*1000</f>
        <v>5.9924347047848681</v>
      </c>
    </row>
    <row r="42" spans="2:7" ht="20.100000000000001" customHeight="1" thickBot="1" x14ac:dyDescent="0.25">
      <c r="B42" s="9" t="s">
        <v>61</v>
      </c>
      <c r="C42" s="14">
        <f>[351]NºAsuntos!$E$36/Población!$R$42*1000</f>
        <v>88.922604804205747</v>
      </c>
      <c r="D42" s="14">
        <f>[351]NºAsuntos!$E$17/Población!$R$42*1000</f>
        <v>28.749061495644249</v>
      </c>
      <c r="E42" s="14">
        <f>[351]NºAsuntos!$E$28/Población!$R$42*1000</f>
        <v>52.902768607360997</v>
      </c>
      <c r="F42" s="14">
        <f>[351]NºAsuntos!$E$31/Población!$R$42*1000</f>
        <v>1.8699845624813665</v>
      </c>
      <c r="G42" s="14">
        <f>[351]NºAsuntos!$E$35/Población!$R$42*1000</f>
        <v>5.4007901387191382</v>
      </c>
    </row>
    <row r="43" spans="2:7" ht="20.100000000000001" customHeight="1" thickBot="1" x14ac:dyDescent="0.25">
      <c r="B43" s="9" t="s">
        <v>62</v>
      </c>
      <c r="C43" s="14">
        <f>[352]NºAsuntos!$E$36/Población!$R$43*1000</f>
        <v>105.09666415755923</v>
      </c>
      <c r="D43" s="14">
        <f>[352]NºAsuntos!$E$17/Población!$R$43*1000</f>
        <v>39.840814602369996</v>
      </c>
      <c r="E43" s="14">
        <f>[352]NºAsuntos!$E$28/Población!$R$43*1000</f>
        <v>52.595973358996098</v>
      </c>
      <c r="F43" s="14">
        <f>[352]NºAsuntos!$E$31/Población!$R$43*1000</f>
        <v>2.2042032313492328</v>
      </c>
      <c r="G43" s="14">
        <f>[352]NºAsuntos!$E$35/Población!$R$43*1000</f>
        <v>10.455672964843911</v>
      </c>
    </row>
    <row r="44" spans="2:7" ht="20.100000000000001" customHeight="1" thickBot="1" x14ac:dyDescent="0.25">
      <c r="B44" s="9" t="s">
        <v>63</v>
      </c>
      <c r="C44" s="14">
        <f>[353]NºAsuntos!$E$36/Población!$R$44*1000</f>
        <v>114.81135055027818</v>
      </c>
      <c r="D44" s="14">
        <f>[353]NºAsuntos!$E$17/Población!$R$44*1000</f>
        <v>44.544593182867274</v>
      </c>
      <c r="E44" s="14">
        <f>[353]NºAsuntos!$E$28/Población!$R$44*1000</f>
        <v>61.13797040888219</v>
      </c>
      <c r="F44" s="14">
        <f>[353]NºAsuntos!$E$31/Población!$R$44*1000</f>
        <v>2.0650615874249896</v>
      </c>
      <c r="G44" s="14">
        <f>[353]NºAsuntos!$E$35/Población!$R$44*1000</f>
        <v>7.0637253711037147</v>
      </c>
    </row>
    <row r="45" spans="2:7" ht="20.100000000000001" customHeight="1" thickBot="1" x14ac:dyDescent="0.25">
      <c r="B45" s="9" t="s">
        <v>64</v>
      </c>
      <c r="C45" s="14">
        <f>[354]NºAsuntos!$E$36/Población!$R$45*1000</f>
        <v>167.1442885771543</v>
      </c>
      <c r="D45" s="14">
        <f>[354]NºAsuntos!$E$17/Población!$R$45*1000</f>
        <v>48.865002732738198</v>
      </c>
      <c r="E45" s="14">
        <f>[354]NºAsuntos!$E$28/Población!$R$45*1000</f>
        <v>104.88886864638368</v>
      </c>
      <c r="F45" s="14">
        <f>[354]NºAsuntos!$E$31/Población!$R$45*1000</f>
        <v>2.3210056476589545</v>
      </c>
      <c r="G45" s="14">
        <f>[354]NºAsuntos!$E$35/Población!$R$45*1000</f>
        <v>11.069411550373474</v>
      </c>
    </row>
    <row r="46" spans="2:7" ht="20.100000000000001" customHeight="1" thickBot="1" x14ac:dyDescent="0.25">
      <c r="B46" s="9" t="s">
        <v>65</v>
      </c>
      <c r="C46" s="14">
        <f>[355]NºAsuntos!$E$36/Población!$R$46*1000</f>
        <v>131.40099073856405</v>
      </c>
      <c r="D46" s="14">
        <f>[355]NºAsuntos!$E$17/Población!$R$46*1000</f>
        <v>48.162431989969775</v>
      </c>
      <c r="E46" s="14">
        <f>[355]NºAsuntos!$E$28/Población!$R$46*1000</f>
        <v>72.100691907415296</v>
      </c>
      <c r="F46" s="14">
        <f>[355]NºAsuntos!$E$31/Población!$R$46*1000</f>
        <v>2.4366069216155943</v>
      </c>
      <c r="G46" s="14">
        <f>[355]NºAsuntos!$E$35/Población!$R$46*1000</f>
        <v>8.7012599195633804</v>
      </c>
    </row>
    <row r="47" spans="2:7" ht="20.100000000000001" customHeight="1" thickBot="1" x14ac:dyDescent="0.25">
      <c r="B47" s="9" t="s">
        <v>30</v>
      </c>
      <c r="C47" s="14">
        <f>[356]NºAsuntos!$E$36/Población!$R$47*1000</f>
        <v>81.882493017600069</v>
      </c>
      <c r="D47" s="14">
        <f>[356]NºAsuntos!$E$17/Población!$R$47*1000</f>
        <v>35.820819901581409</v>
      </c>
      <c r="E47" s="14">
        <f>[356]NºAsuntos!$E$28/Población!$R$47*1000</f>
        <v>36.960803561815617</v>
      </c>
      <c r="F47" s="14">
        <f>[356]NºAsuntos!$E$31/Población!$R$47*1000</f>
        <v>2.1406359842175595</v>
      </c>
      <c r="G47" s="14">
        <f>[356]NºAsuntos!$E$35/Población!$R$47*1000</f>
        <v>6.9602335699854967</v>
      </c>
    </row>
    <row r="48" spans="2:7" ht="20.100000000000001" customHeight="1" thickBot="1" x14ac:dyDescent="0.25">
      <c r="B48" s="9" t="s">
        <v>66</v>
      </c>
      <c r="C48" s="14">
        <f>[357]NºAsuntos!$E$36/Población!$R$48*1000</f>
        <v>90.009970683215016</v>
      </c>
      <c r="D48" s="14">
        <f>[357]NºAsuntos!$E$17/Población!$R$48*1000</f>
        <v>39.037457029331669</v>
      </c>
      <c r="E48" s="14">
        <f>[357]NºAsuntos!$E$28/Población!$R$48*1000</f>
        <v>44.597229042963228</v>
      </c>
      <c r="F48" s="14">
        <f>[357]NºAsuntos!$E$31/Población!$R$48*1000</f>
        <v>1.6816226914892034</v>
      </c>
      <c r="G48" s="14">
        <f>[357]NºAsuntos!$E$35/Población!$R$48*1000</f>
        <v>4.6936619194309275</v>
      </c>
    </row>
    <row r="49" spans="2:7" ht="20.100000000000001" customHeight="1" thickBot="1" x14ac:dyDescent="0.25">
      <c r="B49" s="9" t="s">
        <v>67</v>
      </c>
      <c r="C49" s="14">
        <f>[358]NºAsuntos!$E$36/Población!$R$49*1000</f>
        <v>130.33848409160623</v>
      </c>
      <c r="D49" s="14">
        <f>[358]NºAsuntos!$E$17/Población!$R$49*1000</f>
        <v>38.372750775800604</v>
      </c>
      <c r="E49" s="14">
        <f>[358]NºAsuntos!$E$28/Población!$R$49*1000</f>
        <v>83.126187602328002</v>
      </c>
      <c r="F49" s="14">
        <f>[358]NºAsuntos!$E$31/Población!$R$49*1000</f>
        <v>1.8384183626723394</v>
      </c>
      <c r="G49" s="14">
        <f>[358]NºAsuntos!$E$35/Población!$R$49*1000</f>
        <v>7.0011273508052794</v>
      </c>
    </row>
    <row r="50" spans="2:7" ht="20.100000000000001" customHeight="1" thickBot="1" x14ac:dyDescent="0.25">
      <c r="B50" s="9" t="s">
        <v>68</v>
      </c>
      <c r="C50" s="14">
        <f>[359]NºAsuntos!$E$36/Población!$R$50*1000</f>
        <v>104.07832857913809</v>
      </c>
      <c r="D50" s="14">
        <f>[359]NºAsuntos!$E$17/Población!$R$50*1000</f>
        <v>41.759823195333183</v>
      </c>
      <c r="E50" s="14">
        <f>[359]NºAsuntos!$E$28/Población!$R$50*1000</f>
        <v>55.135815794207595</v>
      </c>
      <c r="F50" s="14">
        <f>[359]NºAsuntos!$E$31/Población!$R$50*1000</f>
        <v>2.2164829234446075</v>
      </c>
      <c r="G50" s="14">
        <f>[359]NºAsuntos!$E$35/Población!$R$50*1000</f>
        <v>4.9662066661526998</v>
      </c>
    </row>
    <row r="51" spans="2:7" ht="20.100000000000001" customHeight="1" thickBot="1" x14ac:dyDescent="0.25">
      <c r="B51" s="9" t="s">
        <v>69</v>
      </c>
      <c r="C51" s="14">
        <f>[360]NºAsuntos!$E$36/Población!$R$51*1000</f>
        <v>129.71298217576782</v>
      </c>
      <c r="D51" s="14">
        <f>[360]NºAsuntos!$E$17/Población!$R$51*1000</f>
        <v>39.134951218569164</v>
      </c>
      <c r="E51" s="14">
        <f>[360]NºAsuntos!$E$28/Población!$R$51*1000</f>
        <v>78.735420345143126</v>
      </c>
      <c r="F51" s="14">
        <f>[360]NºAsuntos!$E$31/Población!$R$51*1000</f>
        <v>5.0057352012475667</v>
      </c>
      <c r="G51" s="14">
        <f>[360]NºAsuntos!$E$35/Población!$R$51*1000</f>
        <v>6.8368754108079548</v>
      </c>
    </row>
    <row r="52" spans="2:7" ht="20.100000000000001" customHeight="1" thickBot="1" x14ac:dyDescent="0.25">
      <c r="B52" s="9" t="s">
        <v>70</v>
      </c>
      <c r="C52" s="14">
        <f>[361]NºAsuntos!$E$36/Población!$R$52*1000</f>
        <v>90.848511772545535</v>
      </c>
      <c r="D52" s="14">
        <f>[361]NºAsuntos!$E$17/Población!$R$52*1000</f>
        <v>33.196357174589068</v>
      </c>
      <c r="E52" s="14">
        <f>[361]NºAsuntos!$E$28/Población!$R$52*1000</f>
        <v>50.644158151932473</v>
      </c>
      <c r="F52" s="14">
        <f>[361]NºAsuntos!$E$31/Población!$R$52*1000</f>
        <v>2.2878720568636162</v>
      </c>
      <c r="G52" s="14">
        <f>[361]NºAsuntos!$E$35/Población!$R$52*1000</f>
        <v>4.7201243891603735</v>
      </c>
    </row>
    <row r="53" spans="2:7" ht="20.100000000000001" customHeight="1" thickBot="1" x14ac:dyDescent="0.25">
      <c r="B53" s="9" t="s">
        <v>71</v>
      </c>
      <c r="C53" s="14">
        <f>[362]NºAsuntos!$E$36/Población!$R$53*1000</f>
        <v>122.30357478679136</v>
      </c>
      <c r="D53" s="14">
        <f>[362]NºAsuntos!$E$17/Población!$R$53*1000</f>
        <v>37.878376723938814</v>
      </c>
      <c r="E53" s="14">
        <f>[362]NºAsuntos!$E$28/Población!$R$53*1000</f>
        <v>77.542695371318146</v>
      </c>
      <c r="F53" s="14">
        <f>[362]NºAsuntos!$E$31/Población!$R$53*1000</f>
        <v>1.4590451332135974</v>
      </c>
      <c r="G53" s="14">
        <f>[362]NºAsuntos!$E$35/Población!$R$53*1000</f>
        <v>5.423457558320786</v>
      </c>
    </row>
    <row r="54" spans="2:7" ht="20.100000000000001" customHeight="1" thickBot="1" x14ac:dyDescent="0.25">
      <c r="B54" s="9" t="s">
        <v>72</v>
      </c>
      <c r="C54" s="14">
        <f>[363]NºAsuntos!$E$36/Población!$R$54*1000</f>
        <v>69.47151711601218</v>
      </c>
      <c r="D54" s="14">
        <f>[363]NºAsuntos!$E$17/Población!$R$54*1000</f>
        <v>20.492491440168788</v>
      </c>
      <c r="E54" s="14">
        <f>[363]NºAsuntos!$E$28/Población!$R$54*1000</f>
        <v>44.562225775130131</v>
      </c>
      <c r="F54" s="14">
        <f>[363]NºAsuntos!$E$31/Población!$R$54*1000</f>
        <v>1.4673996364353141</v>
      </c>
      <c r="G54" s="14">
        <f>[363]NºAsuntos!$E$35/Población!$R$54*1000</f>
        <v>2.9494002642779447</v>
      </c>
    </row>
    <row r="55" spans="2:7" ht="20.100000000000001" customHeight="1" thickBot="1" x14ac:dyDescent="0.25">
      <c r="B55" s="9" t="s">
        <v>73</v>
      </c>
      <c r="C55" s="14">
        <f>[364]NºAsuntos!$E$36/Población!$R$55*1000</f>
        <v>93.684656846800806</v>
      </c>
      <c r="D55" s="14">
        <f>[364]NºAsuntos!$E$17/Población!$R$55*1000</f>
        <v>32.736919752799587</v>
      </c>
      <c r="E55" s="14">
        <f>[364]NºAsuntos!$E$28/Población!$R$55*1000</f>
        <v>54.632684354816227</v>
      </c>
      <c r="F55" s="14">
        <f>[364]NºAsuntos!$E$31/Población!$R$55*1000</f>
        <v>2.0604874308814649</v>
      </c>
      <c r="G55" s="14">
        <f>[364]NºAsuntos!$E$35/Población!$R$55*1000</f>
        <v>4.2545653083035173</v>
      </c>
    </row>
    <row r="56" spans="2:7" ht="20.100000000000001" customHeight="1" thickBot="1" x14ac:dyDescent="0.25">
      <c r="B56" s="9" t="s">
        <v>74</v>
      </c>
      <c r="C56" s="14">
        <f>[365]NºAsuntos!$E$36/Población!$R$56*1000</f>
        <v>124.41633415400288</v>
      </c>
      <c r="D56" s="14">
        <f>[365]NºAsuntos!$E$17/Población!$R$56*1000</f>
        <v>48.056726817657292</v>
      </c>
      <c r="E56" s="14">
        <f>[365]NºAsuntos!$E$28/Población!$R$56*1000</f>
        <v>67.531514025274106</v>
      </c>
      <c r="F56" s="14">
        <f>[365]NºAsuntos!$E$31/Población!$R$56*1000</f>
        <v>2.1220282171975864</v>
      </c>
      <c r="G56" s="14">
        <f>[365]NºAsuntos!$E$35/Población!$R$56*1000</f>
        <v>6.7060650938739057</v>
      </c>
    </row>
    <row r="57" spans="2:7" ht="20.100000000000001" customHeight="1" thickBot="1" x14ac:dyDescent="0.25">
      <c r="B57" s="9" t="s">
        <v>75</v>
      </c>
      <c r="C57" s="14">
        <f>[366]NºAsuntos!$E$36/Población!$R$57*1000</f>
        <v>104.600337229486</v>
      </c>
      <c r="D57" s="14">
        <f>[366]NºAsuntos!$E$17/Población!$R$57*1000</f>
        <v>45.268189100574972</v>
      </c>
      <c r="E57" s="14">
        <f>[366]NºAsuntos!$E$28/Población!$R$57*1000</f>
        <v>50.229243486945251</v>
      </c>
      <c r="F57" s="14">
        <f>[366]NºAsuntos!$E$31/Población!$R$57*1000</f>
        <v>2.2341930839311868</v>
      </c>
      <c r="G57" s="14">
        <f>[366]NºAsuntos!$E$35/Población!$R$57*1000</f>
        <v>6.8687115580345974</v>
      </c>
    </row>
    <row r="58" spans="2:7" ht="20.100000000000001" customHeight="1" thickBot="1" x14ac:dyDescent="0.25">
      <c r="B58" s="9" t="s">
        <v>76</v>
      </c>
      <c r="C58" s="14">
        <f>[367]NºAsuntos!$E$36/Población!$R$58*1000</f>
        <v>97.513386472733714</v>
      </c>
      <c r="D58" s="14">
        <f>[367]NºAsuntos!$E$17/Población!$R$58*1000</f>
        <v>38.446614857598966</v>
      </c>
      <c r="E58" s="14">
        <f>[367]NºAsuntos!$E$28/Población!$R$58*1000</f>
        <v>52.265445716883036</v>
      </c>
      <c r="F58" s="14">
        <f>[367]NºAsuntos!$E$31/Población!$R$58*1000</f>
        <v>1.8735518774320143</v>
      </c>
      <c r="G58" s="14">
        <f>[367]NºAsuntos!$E$35/Población!$R$58*1000</f>
        <v>4.9277740208197063</v>
      </c>
    </row>
    <row r="59" spans="2:7" ht="20.100000000000001" customHeight="1" thickBot="1" x14ac:dyDescent="0.25">
      <c r="B59" s="9" t="s">
        <v>77</v>
      </c>
      <c r="C59" s="14">
        <f>[368]NºAsuntos!$E$36/Población!$R$59*1000</f>
        <v>107.7056770754976</v>
      </c>
      <c r="D59" s="14">
        <f>[368]NºAsuntos!$E$17/Población!$R$59*1000</f>
        <v>36.143868482820224</v>
      </c>
      <c r="E59" s="14">
        <f>[368]NºAsuntos!$E$28/Población!$R$59*1000</f>
        <v>62.739148685911836</v>
      </c>
      <c r="F59" s="14">
        <f>[368]NºAsuntos!$E$31/Población!$R$59*1000</f>
        <v>2.0557449866229289</v>
      </c>
      <c r="G59" s="14">
        <f>[368]NºAsuntos!$E$35/Población!$R$59*1000</f>
        <v>6.7669149201426189</v>
      </c>
    </row>
    <row r="60" spans="2:7" ht="20.100000000000001" customHeight="1" thickBot="1" x14ac:dyDescent="0.25">
      <c r="B60" s="9" t="s">
        <v>78</v>
      </c>
      <c r="C60" s="14">
        <f>[369]NºAsuntos!$E$61/Población!$R$60*1000</f>
        <v>169.19272589595238</v>
      </c>
      <c r="D60" s="14">
        <f>[369]NºAsuntos!$E$21/Población!$R$60*1000</f>
        <v>35.518640778996442</v>
      </c>
      <c r="E60" s="14">
        <f>[369]NºAsuntos!$E$40/Población!$R$60*1000</f>
        <v>109.77413362675847</v>
      </c>
      <c r="F60" s="14">
        <f>[369]NºAsuntos!$E$47/Población!$R$60*1000</f>
        <v>17.061252499437998</v>
      </c>
      <c r="G60" s="14">
        <f>[369]NºAsuntos!$E$54/Población!$R$60*1000</f>
        <v>6.8386989907594744</v>
      </c>
    </row>
    <row r="61" spans="2:7" ht="20.100000000000001" customHeight="1" thickBot="1" x14ac:dyDescent="0.25">
      <c r="B61" s="9" t="s">
        <v>79</v>
      </c>
      <c r="C61" s="14">
        <f>[370]NºAsuntos!$E$61/Población!$R$61*1000</f>
        <v>153.39548508590426</v>
      </c>
      <c r="D61" s="14">
        <f>[370]NºAsuntos!$E$21/Población!$R$61*1000</f>
        <v>27.817171552786366</v>
      </c>
      <c r="E61" s="14">
        <f>[370]NºAsuntos!$E$40/Población!$R$61*1000</f>
        <v>108.87406133029549</v>
      </c>
      <c r="F61" s="14">
        <f>[370]NºAsuntos!$E$47/Población!$R$61*1000</f>
        <v>9.3111384930137397</v>
      </c>
      <c r="G61" s="14">
        <f>[370]NºAsuntos!$E$54/Población!$R$61*1000</f>
        <v>7.3931137098086621</v>
      </c>
    </row>
    <row r="62" spans="2:7" ht="20.100000000000001" customHeight="1" thickBot="1" x14ac:dyDescent="0.25">
      <c r="B62" s="12" t="s">
        <v>6</v>
      </c>
      <c r="C62" s="15">
        <f>[371]NºAsuntos!$E$60/Población!$S$62*1000</f>
        <v>124.82078338178721</v>
      </c>
      <c r="D62" s="15">
        <f>[371]NºAsuntos!$E$20/Población!$S$62*1000</f>
        <v>40.114719248841773</v>
      </c>
      <c r="E62" s="15">
        <f>[371]NºAsuntos!$E$39/Población!$S$62*1000</f>
        <v>72.273715104990259</v>
      </c>
      <c r="F62" s="15">
        <f>[371]NºAsuntos!$E$46/Población!$S$62*1000</f>
        <v>4.2123044742722966</v>
      </c>
      <c r="G62" s="15">
        <f>[371]NºAsuntos!$E$53/Población!$S$62*1000</f>
        <v>8.2147624248767492</v>
      </c>
    </row>
  </sheetData>
  <pageMargins left="0.75" right="0.75" top="1" bottom="1" header="0" footer="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2"/>
  <dimension ref="B8:Q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1.42578125" style="1"/>
  </cols>
  <sheetData>
    <row r="8" spans="2:17" ht="13.5" thickBot="1" x14ac:dyDescent="0.25"/>
    <row r="9" spans="2:1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17" ht="20.100000000000001" customHeight="1" thickBot="1" x14ac:dyDescent="0.25">
      <c r="B10" s="9" t="s">
        <v>31</v>
      </c>
      <c r="C10" s="14">
        <f>[372]NºAsuntos!$E$36/Población!$Q$10*1000</f>
        <v>139.76633382330581</v>
      </c>
      <c r="D10" s="14">
        <f>[372]NºAsuntos!$E$17/Población!$Q$10*1000</f>
        <v>47.769780526129047</v>
      </c>
      <c r="E10" s="14">
        <f>[372]NºAsuntos!$E$28/Población!$Q$10*1000</f>
        <v>83.742206903543007</v>
      </c>
      <c r="F10" s="14">
        <f>[372]NºAsuntos!$E$31/Población!$Q$10*1000</f>
        <v>1.829793704698667</v>
      </c>
      <c r="G10" s="14">
        <f>[372]NºAsuntos!$E$35/Población!$Q$10*1000</f>
        <v>6.4245526889350701</v>
      </c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17" ht="20.100000000000001" customHeight="1" thickBot="1" x14ac:dyDescent="0.25">
      <c r="B11" s="9" t="s">
        <v>32</v>
      </c>
      <c r="C11" s="14">
        <f>[373]NºAsuntos!$E$36/Población!$Q$11*1000</f>
        <v>179.39545467042075</v>
      </c>
      <c r="D11" s="14">
        <f>[373]NºAsuntos!$E$17/Población!$Q$11*1000</f>
        <v>44.986461259472129</v>
      </c>
      <c r="E11" s="14">
        <f>[373]NºAsuntos!$E$28/Población!$Q$11*1000</f>
        <v>126.55690125371486</v>
      </c>
      <c r="F11" s="14">
        <f>[373]NºAsuntos!$E$31/Población!$Q$11*1000</f>
        <v>1.8328376585606725</v>
      </c>
      <c r="G11" s="14">
        <f>[373]NºAsuntos!$E$35/Población!$Q$11*1000</f>
        <v>6.0192544986730789</v>
      </c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17" ht="20.100000000000001" customHeight="1" thickBot="1" x14ac:dyDescent="0.25">
      <c r="B12" s="9" t="s">
        <v>33</v>
      </c>
      <c r="C12" s="14">
        <f>[374]NºAsuntos!$E$36/Población!$Q$12*1000</f>
        <v>195.40338072277817</v>
      </c>
      <c r="D12" s="14">
        <f>[374]NºAsuntos!$E$17/Población!$Q$12*1000</f>
        <v>44.018134341874273</v>
      </c>
      <c r="E12" s="14">
        <f>[374]NºAsuntos!$E$28/Población!$Q$12*1000</f>
        <v>139.73682671834868</v>
      </c>
      <c r="F12" s="14">
        <f>[374]NºAsuntos!$E$31/Población!$Q$12*1000</f>
        <v>4.519324425886075</v>
      </c>
      <c r="G12" s="14">
        <f>[374]NºAsuntos!$E$35/Población!$Q$12*1000</f>
        <v>7.1290952366691345</v>
      </c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17" ht="20.100000000000001" customHeight="1" thickBot="1" x14ac:dyDescent="0.25">
      <c r="B13" s="9" t="s">
        <v>34</v>
      </c>
      <c r="C13" s="14">
        <f>[375]NºAsuntos!$E$36/Población!$Q$13*1000</f>
        <v>138.88545580383627</v>
      </c>
      <c r="D13" s="14">
        <f>[375]NºAsuntos!$E$17/Población!$Q$13*1000</f>
        <v>38.928094720189833</v>
      </c>
      <c r="E13" s="14">
        <f>[375]NºAsuntos!$E$28/Población!$Q$13*1000</f>
        <v>87.304726122206844</v>
      </c>
      <c r="F13" s="14">
        <f>[375]NºAsuntos!$E$31/Población!$Q$13*1000</f>
        <v>3.4543701799485862</v>
      </c>
      <c r="G13" s="14">
        <f>[375]NºAsuntos!$E$35/Población!$Q$13*1000</f>
        <v>9.1982647814910035</v>
      </c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2:17" ht="20.100000000000001" customHeight="1" thickBot="1" x14ac:dyDescent="0.25">
      <c r="B14" s="9" t="s">
        <v>35</v>
      </c>
      <c r="C14" s="14">
        <f>[376]NºAsuntos!$E$36/Población!$Q$14*1000</f>
        <v>154.6190221160185</v>
      </c>
      <c r="D14" s="14">
        <f>[376]NºAsuntos!$E$17/Población!$Q$14*1000</f>
        <v>54.01201831380223</v>
      </c>
      <c r="E14" s="14">
        <f>[376]NºAsuntos!$E$28/Población!$Q$14*1000</f>
        <v>86.524439489397636</v>
      </c>
      <c r="F14" s="14">
        <f>[376]NºAsuntos!$E$31/Población!$Q$14*1000</f>
        <v>2.4828082178098203</v>
      </c>
      <c r="G14" s="14">
        <f>[376]NºAsuntos!$E$35/Población!$Q$14*1000</f>
        <v>11.599756095008795</v>
      </c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2:17" ht="20.100000000000001" customHeight="1" thickBot="1" x14ac:dyDescent="0.25">
      <c r="B15" s="9" t="s">
        <v>36</v>
      </c>
      <c r="C15" s="14">
        <f>[377]NºAsuntos!$E$36/Población!$Q$15*1000</f>
        <v>145.02955889040473</v>
      </c>
      <c r="D15" s="14">
        <f>[377]NºAsuntos!$E$17/Población!$Q$15*1000</f>
        <v>55.673791117174474</v>
      </c>
      <c r="E15" s="14">
        <f>[377]NºAsuntos!$E$28/Población!$Q$15*1000</f>
        <v>83.456116416552987</v>
      </c>
      <c r="F15" s="14">
        <f>[377]NºAsuntos!$E$31/Población!$Q$15*1000</f>
        <v>2.1039866606033049</v>
      </c>
      <c r="G15" s="14">
        <f>[377]NºAsuntos!$E$35/Población!$Q$15*1000</f>
        <v>3.7956646960739731</v>
      </c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2:17" ht="20.100000000000001" customHeight="1" thickBot="1" x14ac:dyDescent="0.25">
      <c r="B16" s="9" t="s">
        <v>37</v>
      </c>
      <c r="C16" s="14">
        <f>[378]NºAsuntos!$E$36/Población!$Q$16*1000</f>
        <v>139.73322848863452</v>
      </c>
      <c r="D16" s="14">
        <f>[378]NºAsuntos!$E$17/Población!$Q$16*1000</f>
        <v>35.36761172513215</v>
      </c>
      <c r="E16" s="14">
        <f>[378]NºAsuntos!$E$28/Población!$Q$16*1000</f>
        <v>97.665749275552258</v>
      </c>
      <c r="F16" s="14">
        <f>[378]NºAsuntos!$E$31/Población!$Q$16*1000</f>
        <v>1.5945131274299944</v>
      </c>
      <c r="G16" s="14">
        <f>[378]NºAsuntos!$E$35/Población!$Q$16*1000</f>
        <v>5.1053543605201464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2:17" ht="20.100000000000001" customHeight="1" thickBot="1" x14ac:dyDescent="0.25">
      <c r="B17" s="9" t="s">
        <v>29</v>
      </c>
      <c r="C17" s="14">
        <f>[379]NºAsuntos!$E$36/Población!$Q$17*1000</f>
        <v>187.92480436477288</v>
      </c>
      <c r="D17" s="14">
        <f>[379]NºAsuntos!$E$17/Población!$Q$17*1000</f>
        <v>47.748304856860109</v>
      </c>
      <c r="E17" s="14">
        <f>[379]NºAsuntos!$E$28/Población!$Q$17*1000</f>
        <v>132.87531949453091</v>
      </c>
      <c r="F17" s="14">
        <f>[379]NºAsuntos!$E$31/Población!$Q$17*1000</f>
        <v>1.4386873811091021</v>
      </c>
      <c r="G17" s="14">
        <f>[379]NºAsuntos!$E$35/Población!$Q$17*1000</f>
        <v>5.8624926322727724</v>
      </c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20.100000000000001" customHeight="1" thickBot="1" x14ac:dyDescent="0.25">
      <c r="B18" s="9" t="s">
        <v>38</v>
      </c>
      <c r="C18" s="14">
        <f>[380]NºAsuntos!$E$36/Población!$Q$18*1000</f>
        <v>160.4088544334985</v>
      </c>
      <c r="D18" s="14">
        <f>[380]NºAsuntos!$E$17/Población!$Q$18*1000</f>
        <v>38.030768718312828</v>
      </c>
      <c r="E18" s="14">
        <f>[380]NºAsuntos!$E$28/Población!$Q$18*1000</f>
        <v>113.07799060160515</v>
      </c>
      <c r="F18" s="14">
        <f>[380]NºAsuntos!$E$31/Población!$Q$18*1000</f>
        <v>1.3517569581902134</v>
      </c>
      <c r="G18" s="14">
        <f>[380]NºAsuntos!$E$35/Población!$Q$18*1000</f>
        <v>7.9483381553903181</v>
      </c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ht="20.100000000000001" customHeight="1" thickBot="1" x14ac:dyDescent="0.25">
      <c r="B19" s="9" t="s">
        <v>39</v>
      </c>
      <c r="C19" s="14">
        <f>[381]NºAsuntos!$E$36/Población!$Q$19*1000</f>
        <v>123.06326304106548</v>
      </c>
      <c r="D19" s="14">
        <f>[381]NºAsuntos!$E$17/Población!$Q$19*1000</f>
        <v>34.734390981697892</v>
      </c>
      <c r="E19" s="14">
        <f>[381]NºAsuntos!$E$28/Población!$Q$19*1000</f>
        <v>76.188113425170286</v>
      </c>
      <c r="F19" s="14">
        <f>[381]NºAsuntos!$E$31/Población!$Q$19*1000</f>
        <v>3.1624991839132992</v>
      </c>
      <c r="G19" s="14">
        <f>[381]NºAsuntos!$E$35/Población!$Q$19*1000</f>
        <v>8.9782594502839981</v>
      </c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ht="20.100000000000001" customHeight="1" thickBot="1" x14ac:dyDescent="0.25">
      <c r="B20" s="9" t="s">
        <v>40</v>
      </c>
      <c r="C20" s="14">
        <f>[382]NºAsuntos!$E$36/Población!$Q$20*1000</f>
        <v>148.30962467239192</v>
      </c>
      <c r="D20" s="14">
        <f>[382]NºAsuntos!$E$17/Población!$Q$20*1000</f>
        <v>47.211279058906271</v>
      </c>
      <c r="E20" s="14">
        <f>[382]NºAsuntos!$E$28/Población!$Q$20*1000</f>
        <v>89.507749957417829</v>
      </c>
      <c r="F20" s="14">
        <f>[382]NºAsuntos!$E$31/Población!$Q$20*1000</f>
        <v>3.3021796583535257</v>
      </c>
      <c r="G20" s="14">
        <f>[382]NºAsuntos!$E$35/Población!$Q$20*1000</f>
        <v>8.2884159977142993</v>
      </c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ht="20.100000000000001" customHeight="1" thickBot="1" x14ac:dyDescent="0.25">
      <c r="B21" s="9" t="s">
        <v>41</v>
      </c>
      <c r="C21" s="14">
        <f>[383]NºAsuntos!$E$36/Población!$Q$21*1000</f>
        <v>130.20993583037756</v>
      </c>
      <c r="D21" s="14">
        <f>[383]NºAsuntos!$E$17/Población!$Q$21*1000</f>
        <v>37.098755252087912</v>
      </c>
      <c r="E21" s="14">
        <f>[383]NºAsuntos!$E$28/Población!$Q$21*1000</f>
        <v>87.516337777865303</v>
      </c>
      <c r="F21" s="14">
        <f>[383]NºAsuntos!$E$31/Población!$Q$21*1000</f>
        <v>1.6540846290739832</v>
      </c>
      <c r="G21" s="14">
        <f>[383]NºAsuntos!$E$35/Población!$Q$21*1000</f>
        <v>3.9407581713503679</v>
      </c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ht="20.100000000000001" customHeight="1" thickBot="1" x14ac:dyDescent="0.25">
      <c r="B22" s="9" t="s">
        <v>42</v>
      </c>
      <c r="C22" s="14">
        <f>[384]NºAsuntos!$E$36/Población!$Q$22*1000</f>
        <v>189.92666195806768</v>
      </c>
      <c r="D22" s="14">
        <f>[384]NºAsuntos!$E$17/Población!$Q$22*1000</f>
        <v>44.626069513111517</v>
      </c>
      <c r="E22" s="14">
        <f>[384]NºAsuntos!$E$28/Población!$Q$22*1000</f>
        <v>133.68954207262206</v>
      </c>
      <c r="F22" s="14">
        <f>[384]NºAsuntos!$E$31/Población!$Q$22*1000</f>
        <v>5.4124700471827421</v>
      </c>
      <c r="G22" s="14">
        <f>[384]NºAsuntos!$E$35/Población!$Q$22*1000</f>
        <v>6.1985803251513358</v>
      </c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2:17" ht="20.100000000000001" customHeight="1" thickBot="1" x14ac:dyDescent="0.25">
      <c r="B23" s="9" t="s">
        <v>5</v>
      </c>
      <c r="C23" s="14">
        <f>[385]NºAsuntos!$E$36/Población!$Q$23*1000</f>
        <v>180.61140266482565</v>
      </c>
      <c r="D23" s="14">
        <f>[385]NºAsuntos!$E$17/Población!$Q$23*1000</f>
        <v>57.61655835223069</v>
      </c>
      <c r="E23" s="14">
        <f>[385]NºAsuntos!$E$28/Población!$Q$23*1000</f>
        <v>112.91245926460108</v>
      </c>
      <c r="F23" s="14">
        <f>[385]NºAsuntos!$E$31/Población!$Q$23*1000</f>
        <v>2.1002120718617725</v>
      </c>
      <c r="G23" s="14">
        <f>[385]NºAsuntos!$E$35/Población!$Q$23*1000</f>
        <v>7.9821729761320892</v>
      </c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2:17" ht="20.100000000000001" customHeight="1" thickBot="1" x14ac:dyDescent="0.25">
      <c r="B24" s="9" t="s">
        <v>43</v>
      </c>
      <c r="C24" s="14">
        <f>[386]NºAsuntos!$E$36/Población!$Q$24*1000</f>
        <v>167.49695617754287</v>
      </c>
      <c r="D24" s="14">
        <f>[386]NºAsuntos!$E$17/Población!$Q$24*1000</f>
        <v>51.835137302580854</v>
      </c>
      <c r="E24" s="14">
        <f>[386]NºAsuntos!$E$28/Población!$Q$24*1000</f>
        <v>106.4298924830894</v>
      </c>
      <c r="F24" s="14">
        <f>[386]NºAsuntos!$E$31/Población!$Q$24*1000</f>
        <v>2.2410089176699688</v>
      </c>
      <c r="G24" s="14">
        <f>[386]NºAsuntos!$E$35/Población!$Q$24*1000</f>
        <v>6.9909174742026394</v>
      </c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17" ht="20.100000000000001" customHeight="1" thickBot="1" x14ac:dyDescent="0.25">
      <c r="B25" s="9" t="s">
        <v>44</v>
      </c>
      <c r="C25" s="14">
        <f>[387]NºAsuntos!$E$36/Población!$Q$25*1000</f>
        <v>144.43278640018843</v>
      </c>
      <c r="D25" s="14">
        <f>[387]NºAsuntos!$E$17/Población!$Q$25*1000</f>
        <v>40.781525871449617</v>
      </c>
      <c r="E25" s="14">
        <f>[387]NºAsuntos!$E$28/Población!$Q$25*1000</f>
        <v>97.077551083971002</v>
      </c>
      <c r="F25" s="14">
        <f>[387]NºAsuntos!$E$31/Población!$Q$25*1000</f>
        <v>1.2516716532382868</v>
      </c>
      <c r="G25" s="14">
        <f>[387]NºAsuntos!$E$35/Población!$Q$25*1000</f>
        <v>5.3220377915295121</v>
      </c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2:17" ht="20.100000000000001" customHeight="1" thickBot="1" x14ac:dyDescent="0.25">
      <c r="B26" s="9" t="s">
        <v>45</v>
      </c>
      <c r="C26" s="14">
        <f>[388]NºAsuntos!$E$36/Población!$Q$26*1000</f>
        <v>165.7933336768848</v>
      </c>
      <c r="D26" s="14">
        <f>[388]NºAsuntos!$E$17/Población!$Q$26*1000</f>
        <v>37.967046710012809</v>
      </c>
      <c r="E26" s="14">
        <f>[388]NºAsuntos!$E$28/Población!$Q$26*1000</f>
        <v>117.13261883005639</v>
      </c>
      <c r="F26" s="14">
        <f>[388]NºAsuntos!$E$31/Población!$Q$26*1000</f>
        <v>5.2965582426587874</v>
      </c>
      <c r="G26" s="14">
        <f>[388]NºAsuntos!$E$35/Población!$Q$26*1000</f>
        <v>5.3971098941568174</v>
      </c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2:17" ht="20.100000000000001" customHeight="1" thickBot="1" x14ac:dyDescent="0.25">
      <c r="B27" s="9" t="s">
        <v>46</v>
      </c>
      <c r="C27" s="14">
        <f>[389]NºAsuntos!$E$36/Población!$Q$27*1000</f>
        <v>142.62027189592584</v>
      </c>
      <c r="D27" s="14">
        <f>[389]NºAsuntos!$E$17/Población!$Q$27*1000</f>
        <v>46.392996426530971</v>
      </c>
      <c r="E27" s="14">
        <f>[389]NºAsuntos!$E$28/Población!$Q$27*1000</f>
        <v>84.194762933864212</v>
      </c>
      <c r="F27" s="14">
        <f>[389]NºAsuntos!$E$31/Población!$Q$27*1000</f>
        <v>2.3598380405892141</v>
      </c>
      <c r="G27" s="14">
        <f>[389]NºAsuntos!$E$35/Población!$Q$27*1000</f>
        <v>9.6726744949414307</v>
      </c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2:17" ht="20.100000000000001" customHeight="1" thickBot="1" x14ac:dyDescent="0.25">
      <c r="B28" s="9" t="s">
        <v>47</v>
      </c>
      <c r="C28" s="14">
        <f>[390]NºAsuntos!$E$36/Población!$Q$28*1000</f>
        <v>139.49107392526528</v>
      </c>
      <c r="D28" s="14">
        <f>[390]NºAsuntos!$E$17/Población!$Q$28*1000</f>
        <v>35.728827860930828</v>
      </c>
      <c r="E28" s="14">
        <f>[390]NºAsuntos!$E$28/Población!$Q$28*1000</f>
        <v>94.573711863658446</v>
      </c>
      <c r="F28" s="14">
        <f>[390]NºAsuntos!$E$31/Población!$Q$28*1000</f>
        <v>2.2321319067312264</v>
      </c>
      <c r="G28" s="14">
        <f>[390]NºAsuntos!$E$35/Población!$Q$28*1000</f>
        <v>6.95640229394479</v>
      </c>
    </row>
    <row r="29" spans="2:17" ht="20.100000000000001" customHeight="1" thickBot="1" x14ac:dyDescent="0.25">
      <c r="B29" s="9" t="s">
        <v>48</v>
      </c>
      <c r="C29" s="14">
        <f>[391]NºAsuntos!$E$36/Población!$Q$10*1000</f>
        <v>185.40726848801256</v>
      </c>
      <c r="D29" s="14">
        <f>[391]NºAsuntos!$E$17/Población!$Q$10*1000</f>
        <v>45.927315119874294</v>
      </c>
      <c r="E29" s="14">
        <f>[391]NºAsuntos!$E$28/Población!$Q$10*1000</f>
        <v>124.6261848040955</v>
      </c>
      <c r="F29" s="14">
        <f>[391]NºAsuntos!$E$31/Población!$Q$10*1000</f>
        <v>3.7964417862030513</v>
      </c>
      <c r="G29" s="14">
        <f>[391]NºAsuntos!$E$35/Población!$Q$10*1000</f>
        <v>11.057326777839728</v>
      </c>
    </row>
    <row r="30" spans="2:17" ht="20.100000000000001" customHeight="1" thickBot="1" x14ac:dyDescent="0.25">
      <c r="B30" s="9" t="s">
        <v>49</v>
      </c>
      <c r="C30" s="14">
        <f>[392]NºAsuntos!$E$36/Población!$Q$30*1000</f>
        <v>157.695198485102</v>
      </c>
      <c r="D30" s="14">
        <f>[392]NºAsuntos!$E$17/Población!$Q$30*1000</f>
        <v>33.724009168001231</v>
      </c>
      <c r="E30" s="14">
        <f>[392]NºAsuntos!$E$28/Población!$Q$30*1000</f>
        <v>117.86538548364393</v>
      </c>
      <c r="F30" s="14">
        <f>[392]NºAsuntos!$E$31/Población!$Q$30*1000</f>
        <v>1.7236479721241769</v>
      </c>
      <c r="G30" s="14">
        <f>[392]NºAsuntos!$E$35/Población!$Q$30*1000</f>
        <v>4.3821558613326532</v>
      </c>
    </row>
    <row r="31" spans="2:17" ht="20.100000000000001" customHeight="1" thickBot="1" x14ac:dyDescent="0.25">
      <c r="B31" s="9" t="s">
        <v>50</v>
      </c>
      <c r="C31" s="14">
        <f>[393]NºAsuntos!$E$36/Población!$Q$31*1000</f>
        <v>230.57417608473591</v>
      </c>
      <c r="D31" s="14">
        <f>[393]NºAsuntos!$E$17/Población!$Q$31*1000</f>
        <v>43.982483317834898</v>
      </c>
      <c r="E31" s="14">
        <f>[393]NºAsuntos!$E$28/Población!$Q$31*1000</f>
        <v>172.40326742592637</v>
      </c>
      <c r="F31" s="14">
        <f>[393]NºAsuntos!$E$31/Población!$Q$31*1000</f>
        <v>5.4824119123904254</v>
      </c>
      <c r="G31" s="14">
        <f>[393]NºAsuntos!$E$35/Población!$Q$31*1000</f>
        <v>8.7060134285841997</v>
      </c>
    </row>
    <row r="32" spans="2:17" ht="20.100000000000001" customHeight="1" thickBot="1" x14ac:dyDescent="0.25">
      <c r="B32" s="9" t="s">
        <v>51</v>
      </c>
      <c r="C32" s="14">
        <f>[394]NºAsuntos!$E$36/Población!$Q$32*1000</f>
        <v>146.64191165456509</v>
      </c>
      <c r="D32" s="14">
        <f>[394]NºAsuntos!$E$17/Población!$Q$32*1000</f>
        <v>41.890368408189651</v>
      </c>
      <c r="E32" s="14">
        <f>[394]NºAsuntos!$E$28/Población!$Q$32*1000</f>
        <v>95.637914587324488</v>
      </c>
      <c r="F32" s="14">
        <f>[394]NºAsuntos!$E$31/Población!$Q$32*1000</f>
        <v>2.6016413992100471</v>
      </c>
      <c r="G32" s="14">
        <f>[394]NºAsuntos!$E$35/Población!$Q$32*1000</f>
        <v>6.5119872598409057</v>
      </c>
    </row>
    <row r="33" spans="2:7" ht="20.100000000000001" customHeight="1" thickBot="1" x14ac:dyDescent="0.25">
      <c r="B33" s="9" t="s">
        <v>52</v>
      </c>
      <c r="C33" s="14">
        <f>[395]NºAsuntos!$E$36/Población!$Q$33*1000</f>
        <v>182.29404038714119</v>
      </c>
      <c r="D33" s="14">
        <f>[395]NºAsuntos!$E$17/Población!$Q$33*1000</f>
        <v>43.013978389168045</v>
      </c>
      <c r="E33" s="14">
        <f>[395]NºAsuntos!$E$28/Población!$Q$33*1000</f>
        <v>126.90546655205503</v>
      </c>
      <c r="F33" s="14">
        <f>[395]NºAsuntos!$E$31/Población!$Q$33*1000</f>
        <v>4.4960068613141493</v>
      </c>
      <c r="G33" s="14">
        <f>[395]NºAsuntos!$E$35/Población!$Q$33*1000</f>
        <v>7.8785885846039649</v>
      </c>
    </row>
    <row r="34" spans="2:7" ht="20.100000000000001" customHeight="1" thickBot="1" x14ac:dyDescent="0.25">
      <c r="B34" s="9" t="s">
        <v>53</v>
      </c>
      <c r="C34" s="14">
        <f>[396]NºAsuntos!$E$36/Población!$Q$34*1000</f>
        <v>136.91685844896347</v>
      </c>
      <c r="D34" s="14">
        <f>[396]NºAsuntos!$E$17/Población!$Q$34*1000</f>
        <v>34.93802403671453</v>
      </c>
      <c r="E34" s="14">
        <f>[396]NºAsuntos!$E$28/Población!$Q$34*1000</f>
        <v>96.89604277978907</v>
      </c>
      <c r="F34" s="14">
        <f>[396]NºAsuntos!$E$31/Población!$Q$34*1000</f>
        <v>1.6598701712357959</v>
      </c>
      <c r="G34" s="14">
        <f>[396]NºAsuntos!$E$35/Población!$Q$34*1000</f>
        <v>3.422921461224087</v>
      </c>
    </row>
    <row r="35" spans="2:7" ht="20.100000000000001" customHeight="1" thickBot="1" x14ac:dyDescent="0.25">
      <c r="B35" s="9" t="s">
        <v>54</v>
      </c>
      <c r="C35" s="14">
        <f>[397]NºAsuntos!$E$36/Población!$Q$35*1000</f>
        <v>147.70778238072671</v>
      </c>
      <c r="D35" s="14">
        <f>[397]NºAsuntos!$E$17/Población!$Q$35*1000</f>
        <v>37.398535548863443</v>
      </c>
      <c r="E35" s="14">
        <f>[397]NºAsuntos!$E$28/Población!$Q$35*1000</f>
        <v>101.84814344895058</v>
      </c>
      <c r="F35" s="14">
        <f>[397]NºAsuntos!$E$31/Población!$Q$35*1000</f>
        <v>3.991317241695584</v>
      </c>
      <c r="G35" s="14">
        <f>[397]NºAsuntos!$E$35/Población!$Q$35*1000</f>
        <v>4.4697861412171154</v>
      </c>
    </row>
    <row r="36" spans="2:7" ht="20.100000000000001" customHeight="1" thickBot="1" x14ac:dyDescent="0.25">
      <c r="B36" s="9" t="s">
        <v>55</v>
      </c>
      <c r="C36" s="14">
        <f>[398]NºAsuntos!$E$36/Población!$Q$36*1000</f>
        <v>153.5727322980006</v>
      </c>
      <c r="D36" s="14">
        <f>[398]NºAsuntos!$E$17/Población!$Q$36*1000</f>
        <v>55.34058552967803</v>
      </c>
      <c r="E36" s="14">
        <f>[398]NºAsuntos!$E$28/Población!$Q$36*1000</f>
        <v>85.954171403539874</v>
      </c>
      <c r="F36" s="14">
        <f>[398]NºAsuntos!$E$31/Población!$Q$36*1000</f>
        <v>2.1360256156196873</v>
      </c>
      <c r="G36" s="14">
        <f>[398]NºAsuntos!$E$35/Población!$Q$36*1000</f>
        <v>10.141949749163008</v>
      </c>
    </row>
    <row r="37" spans="2:7" ht="20.100000000000001" customHeight="1" thickBot="1" x14ac:dyDescent="0.25">
      <c r="B37" s="9" t="s">
        <v>56</v>
      </c>
      <c r="C37" s="14">
        <f>[399]NºAsuntos!$E$36/Población!$Q$37*1000</f>
        <v>125.77145098147142</v>
      </c>
      <c r="D37" s="14">
        <f>[399]NºAsuntos!$E$17/Población!$Q$37*1000</f>
        <v>32.869373367367771</v>
      </c>
      <c r="E37" s="14">
        <f>[399]NºAsuntos!$E$28/Población!$Q$37*1000</f>
        <v>87.409323691772784</v>
      </c>
      <c r="F37" s="14">
        <f>[399]NºAsuntos!$E$31/Población!$Q$37*1000</f>
        <v>1.3026656483857726</v>
      </c>
      <c r="G37" s="14">
        <f>[399]NºAsuntos!$E$35/Población!$Q$37*1000</f>
        <v>4.190088273945082</v>
      </c>
    </row>
    <row r="38" spans="2:7" ht="20.100000000000001" customHeight="1" thickBot="1" x14ac:dyDescent="0.25">
      <c r="B38" s="9" t="s">
        <v>57</v>
      </c>
      <c r="C38" s="14">
        <f>[400]NºAsuntos!$E$36/Población!$Q$38*1000</f>
        <v>133.69732399097191</v>
      </c>
      <c r="D38" s="14">
        <f>[400]NºAsuntos!$E$17/Población!$Q$38*1000</f>
        <v>43.832096786549826</v>
      </c>
      <c r="E38" s="14">
        <f>[400]NºAsuntos!$E$28/Población!$Q$38*1000</f>
        <v>79.340338140052921</v>
      </c>
      <c r="F38" s="14">
        <f>[400]NºAsuntos!$E$31/Población!$Q$38*1000</f>
        <v>2.2275521088082595</v>
      </c>
      <c r="G38" s="14">
        <f>[400]NºAsuntos!$E$35/Población!$Q$38*1000</f>
        <v>8.2973369555609242</v>
      </c>
    </row>
    <row r="39" spans="2:7" ht="20.100000000000001" customHeight="1" thickBot="1" x14ac:dyDescent="0.25">
      <c r="B39" s="9" t="s">
        <v>58</v>
      </c>
      <c r="C39" s="14">
        <f>[401]NºAsuntos!$E$36/Población!$Q$39*1000</f>
        <v>197.80562237416336</v>
      </c>
      <c r="D39" s="14">
        <f>[401]NºAsuntos!$E$17/Población!$Q$39*1000</f>
        <v>51.238496963490419</v>
      </c>
      <c r="E39" s="14">
        <f>[401]NºAsuntos!$E$28/Población!$Q$39*1000</f>
        <v>135.02929006014608</v>
      </c>
      <c r="F39" s="14">
        <f>[401]NºAsuntos!$E$31/Población!$Q$39*1000</f>
        <v>2.9808935720948098</v>
      </c>
      <c r="G39" s="14">
        <f>[401]NºAsuntos!$E$35/Población!$Q$39*1000</f>
        <v>8.5569417784320514</v>
      </c>
    </row>
    <row r="40" spans="2:7" ht="20.100000000000001" customHeight="1" thickBot="1" x14ac:dyDescent="0.25">
      <c r="B40" s="9" t="s">
        <v>59</v>
      </c>
      <c r="C40" s="14">
        <f>[402]NºAsuntos!$E$36/Población!$Q$40*1000</f>
        <v>272.17639580275426</v>
      </c>
      <c r="D40" s="14">
        <f>[402]NºAsuntos!$E$17/Población!$Q$40*1000</f>
        <v>49.679767559069433</v>
      </c>
      <c r="E40" s="14">
        <f>[402]NºAsuntos!$E$28/Población!$Q$40*1000</f>
        <v>210.3429584161309</v>
      </c>
      <c r="F40" s="14">
        <f>[402]NºAsuntos!$E$31/Población!$Q$40*1000</f>
        <v>4.2235199723997878</v>
      </c>
      <c r="G40" s="14">
        <f>[402]NºAsuntos!$E$35/Población!$Q$40*1000</f>
        <v>7.9301498551541378</v>
      </c>
    </row>
    <row r="41" spans="2:7" ht="20.100000000000001" customHeight="1" thickBot="1" x14ac:dyDescent="0.25">
      <c r="B41" s="9" t="s">
        <v>60</v>
      </c>
      <c r="C41" s="14">
        <f>[403]NºAsuntos!$E$36/Población!$Q$41*1000</f>
        <v>177.24877461002882</v>
      </c>
      <c r="D41" s="14">
        <f>[403]NºAsuntos!$E$17/Población!$Q$41*1000</f>
        <v>45.019791615551959</v>
      </c>
      <c r="E41" s="14">
        <f>[403]NºAsuntos!$E$28/Población!$Q$41*1000</f>
        <v>122.9963033842027</v>
      </c>
      <c r="F41" s="14">
        <f>[403]NºAsuntos!$E$31/Población!$Q$41*1000</f>
        <v>2.7322516097725873</v>
      </c>
      <c r="G41" s="14">
        <f>[403]NºAsuntos!$E$35/Población!$Q$41*1000</f>
        <v>6.5004280005016053</v>
      </c>
    </row>
    <row r="42" spans="2:7" ht="20.100000000000001" customHeight="1" thickBot="1" x14ac:dyDescent="0.25">
      <c r="B42" s="9" t="s">
        <v>61</v>
      </c>
      <c r="C42" s="14">
        <f>[404]NºAsuntos!$E$36/Población!$Q$42*1000</f>
        <v>147.74011828702402</v>
      </c>
      <c r="D42" s="14">
        <f>[404]NºAsuntos!$E$17/Población!$Q$42*1000</f>
        <v>31.451607866649184</v>
      </c>
      <c r="E42" s="14">
        <f>[404]NºAsuntos!$E$28/Población!$Q$42*1000</f>
        <v>108.28040394956251</v>
      </c>
      <c r="F42" s="14">
        <f>[404]NºAsuntos!$E$31/Población!$Q$42*1000</f>
        <v>1.9063946190021173</v>
      </c>
      <c r="G42" s="14">
        <f>[404]NºAsuntos!$E$35/Población!$Q$42*1000</f>
        <v>6.101711851810216</v>
      </c>
    </row>
    <row r="43" spans="2:7" ht="20.100000000000001" customHeight="1" thickBot="1" x14ac:dyDescent="0.25">
      <c r="B43" s="9" t="s">
        <v>62</v>
      </c>
      <c r="C43" s="14">
        <f>[405]NºAsuntos!$E$36/Población!$Q$43*1000</f>
        <v>140.8299857722109</v>
      </c>
      <c r="D43" s="14">
        <f>[405]NºAsuntos!$E$17/Población!$Q$43*1000</f>
        <v>44.467337330514994</v>
      </c>
      <c r="E43" s="14">
        <f>[405]NºAsuntos!$E$28/Población!$Q$43*1000</f>
        <v>83.089660197681468</v>
      </c>
      <c r="F43" s="14">
        <f>[405]NºAsuntos!$E$31/Población!$Q$43*1000</f>
        <v>2.7607564284166326</v>
      </c>
      <c r="G43" s="14">
        <f>[405]NºAsuntos!$E$35/Población!$Q$43*1000</f>
        <v>10.512231815597803</v>
      </c>
    </row>
    <row r="44" spans="2:7" ht="20.100000000000001" customHeight="1" thickBot="1" x14ac:dyDescent="0.25">
      <c r="B44" s="9" t="s">
        <v>63</v>
      </c>
      <c r="C44" s="14">
        <f>[406]NºAsuntos!$E$36/Población!$Q$44*1000</f>
        <v>161.29129400427621</v>
      </c>
      <c r="D44" s="14">
        <f>[406]NºAsuntos!$E$17/Población!$Q$44*1000</f>
        <v>48.501821905020023</v>
      </c>
      <c r="E44" s="14">
        <f>[406]NºAsuntos!$E$28/Población!$Q$44*1000</f>
        <v>102.89396813924776</v>
      </c>
      <c r="F44" s="14">
        <f>[406]NºAsuntos!$E$31/Población!$Q$44*1000</f>
        <v>1.9513957900442678</v>
      </c>
      <c r="G44" s="14">
        <f>[406]NºAsuntos!$E$35/Población!$Q$44*1000</f>
        <v>7.9441081699641645</v>
      </c>
    </row>
    <row r="45" spans="2:7" ht="20.100000000000001" customHeight="1" thickBot="1" x14ac:dyDescent="0.25">
      <c r="B45" s="9" t="s">
        <v>64</v>
      </c>
      <c r="C45" s="14">
        <f>[407]NºAsuntos!$E$36/Población!$Q$45*1000</f>
        <v>202.03822630247831</v>
      </c>
      <c r="D45" s="14">
        <f>[407]NºAsuntos!$E$17/Población!$Q$45*1000</f>
        <v>51.490978745564028</v>
      </c>
      <c r="E45" s="14">
        <f>[407]NºAsuntos!$E$28/Población!$Q$45*1000</f>
        <v>136.26109107197158</v>
      </c>
      <c r="F45" s="14">
        <f>[407]NºAsuntos!$E$31/Población!$Q$45*1000</f>
        <v>3.1773315149407413</v>
      </c>
      <c r="G45" s="14">
        <f>[407]NºAsuntos!$E$35/Población!$Q$45*1000</f>
        <v>11.108824970001985</v>
      </c>
    </row>
    <row r="46" spans="2:7" ht="20.100000000000001" customHeight="1" thickBot="1" x14ac:dyDescent="0.25">
      <c r="B46" s="9" t="s">
        <v>65</v>
      </c>
      <c r="C46" s="14">
        <f>[408]NºAsuntos!$E$36/Población!$Q$46*1000</f>
        <v>181.74870747983374</v>
      </c>
      <c r="D46" s="14">
        <f>[408]NºAsuntos!$E$17/Población!$Q$46*1000</f>
        <v>51.517141065724836</v>
      </c>
      <c r="E46" s="14">
        <f>[408]NºAsuntos!$E$28/Población!$Q$46*1000</f>
        <v>119.41957452917222</v>
      </c>
      <c r="F46" s="14">
        <f>[408]NºAsuntos!$E$31/Población!$Q$46*1000</f>
        <v>2.4013747474598204</v>
      </c>
      <c r="G46" s="14">
        <f>[408]NºAsuntos!$E$35/Población!$Q$46*1000</f>
        <v>8.4106171374768568</v>
      </c>
    </row>
    <row r="47" spans="2:7" ht="20.100000000000001" customHeight="1" thickBot="1" x14ac:dyDescent="0.25">
      <c r="B47" s="9" t="s">
        <v>30</v>
      </c>
      <c r="C47" s="14">
        <f>[409]NºAsuntos!$E$36/Población!$Q$47*1000</f>
        <v>122.40855629815835</v>
      </c>
      <c r="D47" s="14">
        <f>[409]NºAsuntos!$E$17/Población!$Q$47*1000</f>
        <v>46.134242539890806</v>
      </c>
      <c r="E47" s="14">
        <f>[409]NºAsuntos!$E$28/Población!$Q$47*1000</f>
        <v>64.94813170037817</v>
      </c>
      <c r="F47" s="14">
        <f>[409]NºAsuntos!$E$31/Población!$Q$47*1000</f>
        <v>3.0815037233522471</v>
      </c>
      <c r="G47" s="14">
        <f>[409]NºAsuntos!$E$35/Población!$Q$47*1000</f>
        <v>8.2446783345371273</v>
      </c>
    </row>
    <row r="48" spans="2:7" ht="20.100000000000001" customHeight="1" thickBot="1" x14ac:dyDescent="0.25">
      <c r="B48" s="9" t="s">
        <v>66</v>
      </c>
      <c r="C48" s="14">
        <f>[410]NºAsuntos!$E$36/Población!$Q$48*1000</f>
        <v>145.89195480192697</v>
      </c>
      <c r="D48" s="14">
        <f>[410]NºAsuntos!$E$17/Población!$Q$48*1000</f>
        <v>42.808526937639037</v>
      </c>
      <c r="E48" s="14">
        <f>[410]NºAsuntos!$E$28/Población!$Q$48*1000</f>
        <v>95.519969357238608</v>
      </c>
      <c r="F48" s="14">
        <f>[410]NºAsuntos!$E$31/Población!$Q$48*1000</f>
        <v>2.4690994269214337</v>
      </c>
      <c r="G48" s="14">
        <f>[410]NºAsuntos!$E$35/Población!$Q$48*1000</f>
        <v>5.0943590801278749</v>
      </c>
    </row>
    <row r="49" spans="2:7" ht="20.100000000000001" customHeight="1" thickBot="1" x14ac:dyDescent="0.25">
      <c r="B49" s="9" t="s">
        <v>67</v>
      </c>
      <c r="C49" s="14">
        <f>[411]NºAsuntos!$E$36/Población!$Q$49*1000</f>
        <v>174.96656352929435</v>
      </c>
      <c r="D49" s="14">
        <f>[411]NºAsuntos!$E$17/Población!$Q$49*1000</f>
        <v>40.869348238347143</v>
      </c>
      <c r="E49" s="14">
        <f>[411]NºAsuntos!$E$28/Población!$Q$49*1000</f>
        <v>124.3856672322587</v>
      </c>
      <c r="F49" s="14">
        <f>[411]NºAsuntos!$E$31/Población!$Q$49*1000</f>
        <v>2.1479189539874239</v>
      </c>
      <c r="G49" s="14">
        <f>[411]NºAsuntos!$E$35/Población!$Q$49*1000</f>
        <v>7.563629104701068</v>
      </c>
    </row>
    <row r="50" spans="2:7" ht="20.100000000000001" customHeight="1" thickBot="1" x14ac:dyDescent="0.25">
      <c r="B50" s="9" t="s">
        <v>68</v>
      </c>
      <c r="C50" s="14">
        <f>[412]NºAsuntos!$E$36/Población!$Q$50*1000</f>
        <v>154.97873960779339</v>
      </c>
      <c r="D50" s="14">
        <f>[412]NºAsuntos!$E$17/Población!$Q$50*1000</f>
        <v>56.228977597258357</v>
      </c>
      <c r="E50" s="14">
        <f>[412]NºAsuntos!$E$28/Población!$Q$50*1000</f>
        <v>91.33083708827823</v>
      </c>
      <c r="F50" s="14">
        <f>[412]NºAsuntos!$E$31/Población!$Q$50*1000</f>
        <v>2.2910452497302787</v>
      </c>
      <c r="G50" s="14">
        <f>[412]NºAsuntos!$E$35/Población!$Q$50*1000</f>
        <v>5.1278796725264968</v>
      </c>
    </row>
    <row r="51" spans="2:7" ht="20.100000000000001" customHeight="1" thickBot="1" x14ac:dyDescent="0.25">
      <c r="B51" s="9" t="s">
        <v>69</v>
      </c>
      <c r="C51" s="14">
        <f>[413]NºAsuntos!$E$36/Población!$Q$51*1000</f>
        <v>196.54490388775574</v>
      </c>
      <c r="D51" s="14">
        <f>[413]NºAsuntos!$E$17/Población!$Q$51*1000</f>
        <v>41.479180831118526</v>
      </c>
      <c r="E51" s="14">
        <f>[413]NºAsuntos!$E$28/Población!$Q$51*1000</f>
        <v>143.91598162226754</v>
      </c>
      <c r="F51" s="14">
        <f>[413]NºAsuntos!$E$31/Población!$Q$51*1000</f>
        <v>4.4012814965902294</v>
      </c>
      <c r="G51" s="14">
        <f>[413]NºAsuntos!$E$35/Población!$Q$51*1000</f>
        <v>6.7484599377794261</v>
      </c>
    </row>
    <row r="52" spans="2:7" ht="20.100000000000001" customHeight="1" thickBot="1" x14ac:dyDescent="0.25">
      <c r="B52" s="9" t="s">
        <v>70</v>
      </c>
      <c r="C52" s="14">
        <f>[414]NºAsuntos!$E$36/Población!$Q$52*1000</f>
        <v>124.38740302837175</v>
      </c>
      <c r="D52" s="14">
        <f>[414]NºAsuntos!$E$17/Población!$Q$52*1000</f>
        <v>37.99749467068105</v>
      </c>
      <c r="E52" s="14">
        <f>[414]NºAsuntos!$E$28/Población!$Q$52*1000</f>
        <v>77.247654000835112</v>
      </c>
      <c r="F52" s="14">
        <f>[414]NºAsuntos!$E$31/Población!$Q$52*1000</f>
        <v>3.1316616486825044</v>
      </c>
      <c r="G52" s="14">
        <f>[414]NºAsuntos!$E$35/Población!$Q$52*1000</f>
        <v>6.0105927081730872</v>
      </c>
    </row>
    <row r="53" spans="2:7" ht="20.100000000000001" customHeight="1" thickBot="1" x14ac:dyDescent="0.25">
      <c r="B53" s="9" t="s">
        <v>71</v>
      </c>
      <c r="C53" s="14">
        <f>[415]NºAsuntos!$E$36/Población!$Q$53*1000</f>
        <v>177.79879537316643</v>
      </c>
      <c r="D53" s="14">
        <f>[415]NºAsuntos!$E$17/Población!$Q$53*1000</f>
        <v>37.966245797703692</v>
      </c>
      <c r="E53" s="14">
        <f>[415]NºAsuntos!$E$28/Población!$Q$53*1000</f>
        <v>132.40330473738558</v>
      </c>
      <c r="F53" s="14">
        <f>[415]NºAsuntos!$E$31/Población!$Q$53*1000</f>
        <v>1.2853712924521539</v>
      </c>
      <c r="G53" s="14">
        <f>[415]NºAsuntos!$E$35/Población!$Q$53*1000</f>
        <v>6.1438735456250209</v>
      </c>
    </row>
    <row r="54" spans="2:7" ht="20.100000000000001" customHeight="1" thickBot="1" x14ac:dyDescent="0.25">
      <c r="B54" s="9" t="s">
        <v>72</v>
      </c>
      <c r="C54" s="14">
        <f>[416]NºAsuntos!$E$36/Población!$Q$54*1000</f>
        <v>88.366970892235059</v>
      </c>
      <c r="D54" s="14">
        <f>[416]NºAsuntos!$E$17/Población!$Q$54*1000</f>
        <v>23.284772406644976</v>
      </c>
      <c r="E54" s="14">
        <f>[416]NºAsuntos!$E$28/Población!$Q$54*1000</f>
        <v>61.051449630034838</v>
      </c>
      <c r="F54" s="14">
        <f>[416]NºAsuntos!$E$31/Población!$Q$54*1000</f>
        <v>1.1228514669046727</v>
      </c>
      <c r="G54" s="14">
        <f>[416]NºAsuntos!$E$35/Población!$Q$54*1000</f>
        <v>2.9078973886505626</v>
      </c>
    </row>
    <row r="55" spans="2:7" ht="20.100000000000001" customHeight="1" thickBot="1" x14ac:dyDescent="0.25">
      <c r="B55" s="9" t="s">
        <v>73</v>
      </c>
      <c r="C55" s="14">
        <f>[417]NºAsuntos!$E$36/Población!$Q$55*1000</f>
        <v>149.09045806646083</v>
      </c>
      <c r="D55" s="14">
        <f>[417]NºAsuntos!$E$17/Población!$Q$55*1000</f>
        <v>39.42189679118394</v>
      </c>
      <c r="E55" s="14">
        <f>[417]NºAsuntos!$E$28/Población!$Q$55*1000</f>
        <v>102.40405208755486</v>
      </c>
      <c r="F55" s="14">
        <f>[417]NºAsuntos!$E$31/Población!$Q$55*1000</f>
        <v>2.1013281489995976</v>
      </c>
      <c r="G55" s="14">
        <f>[417]NºAsuntos!$E$35/Población!$Q$55*1000</f>
        <v>5.1631810387224153</v>
      </c>
    </row>
    <row r="56" spans="2:7" ht="20.100000000000001" customHeight="1" thickBot="1" x14ac:dyDescent="0.25">
      <c r="B56" s="9" t="s">
        <v>74</v>
      </c>
      <c r="C56" s="14">
        <f>[418]NºAsuntos!$E$36/Población!$Q$56*1000</f>
        <v>186.26713560844803</v>
      </c>
      <c r="D56" s="14">
        <f>[418]NºAsuntos!$E$17/Población!$Q$56*1000</f>
        <v>54.511139988558241</v>
      </c>
      <c r="E56" s="14">
        <f>[418]NºAsuntos!$E$28/Población!$Q$56*1000</f>
        <v>122.05212488425539</v>
      </c>
      <c r="F56" s="14">
        <f>[418]NºAsuntos!$E$31/Población!$Q$56*1000</f>
        <v>2.3103705203641707</v>
      </c>
      <c r="G56" s="14">
        <f>[418]NºAsuntos!$E$35/Población!$Q$56*1000</f>
        <v>7.3935002152702278</v>
      </c>
    </row>
    <row r="57" spans="2:7" ht="20.100000000000001" customHeight="1" thickBot="1" x14ac:dyDescent="0.25">
      <c r="B57" s="9" t="s">
        <v>75</v>
      </c>
      <c r="C57" s="14">
        <f>[419]NºAsuntos!$E$36/Población!$Q$57*1000</f>
        <v>158.08264676374912</v>
      </c>
      <c r="D57" s="14">
        <f>[419]NºAsuntos!$E$17/Población!$Q$57*1000</f>
        <v>54.025552549174598</v>
      </c>
      <c r="E57" s="14">
        <f>[419]NºAsuntos!$E$28/Población!$Q$57*1000</f>
        <v>94.16517192107743</v>
      </c>
      <c r="F57" s="14">
        <f>[419]NºAsuntos!$E$31/Población!$Q$57*1000</f>
        <v>2.4321284163803849</v>
      </c>
      <c r="G57" s="14">
        <f>[419]NºAsuntos!$E$35/Población!$Q$57*1000</f>
        <v>7.459793877116712</v>
      </c>
    </row>
    <row r="58" spans="2:7" ht="20.100000000000001" customHeight="1" thickBot="1" x14ac:dyDescent="0.25">
      <c r="B58" s="9" t="s">
        <v>76</v>
      </c>
      <c r="C58" s="14">
        <f>[420]NºAsuntos!$E$36/Población!$Q$58*1000</f>
        <v>135.9166139689047</v>
      </c>
      <c r="D58" s="14">
        <f>[420]NºAsuntos!$E$17/Población!$Q$58*1000</f>
        <v>46.097821583549575</v>
      </c>
      <c r="E58" s="14">
        <f>[420]NºAsuntos!$E$28/Población!$Q$58*1000</f>
        <v>82.028609433262829</v>
      </c>
      <c r="F58" s="14">
        <f>[420]NºAsuntos!$E$31/Población!$Q$58*1000</f>
        <v>2.3877537669813997</v>
      </c>
      <c r="G58" s="14">
        <f>[420]NºAsuntos!$E$35/Población!$Q$58*1000</f>
        <v>5.4024291851108837</v>
      </c>
    </row>
    <row r="59" spans="2:7" ht="20.100000000000001" customHeight="1" thickBot="1" x14ac:dyDescent="0.25">
      <c r="B59" s="9" t="s">
        <v>77</v>
      </c>
      <c r="C59" s="14">
        <f>[421]NºAsuntos!$E$36/Población!$Q$59*1000</f>
        <v>149.06182597180353</v>
      </c>
      <c r="D59" s="14">
        <f>[421]NºAsuntos!$E$17/Población!$Q$59*1000</f>
        <v>40.998696660899618</v>
      </c>
      <c r="E59" s="14">
        <f>[421]NºAsuntos!$E$28/Población!$Q$59*1000</f>
        <v>99.726361550032124</v>
      </c>
      <c r="F59" s="14">
        <f>[421]NºAsuntos!$E$31/Población!$Q$59*1000</f>
        <v>1.8336704999759417</v>
      </c>
      <c r="G59" s="14">
        <f>[421]NºAsuntos!$E$35/Población!$Q$59*1000</f>
        <v>6.5030972608958519</v>
      </c>
    </row>
    <row r="60" spans="2:7" ht="20.100000000000001" customHeight="1" thickBot="1" x14ac:dyDescent="0.25">
      <c r="B60" s="9" t="s">
        <v>78</v>
      </c>
      <c r="C60" s="14">
        <f>[422]NºAsuntos!$E$61/Población!$Q$60*1000</f>
        <v>197.42947675729562</v>
      </c>
      <c r="D60" s="14">
        <f>[422]NºAsuntos!$E$21/Población!$Q$60*1000</f>
        <v>36.777707890770564</v>
      </c>
      <c r="E60" s="14">
        <f>[422]NºAsuntos!$E$40/Población!$Q$60*1000</f>
        <v>135.70606315939378</v>
      </c>
      <c r="F60" s="14">
        <f>[422]NºAsuntos!$E$47/Población!$Q$60*1000</f>
        <v>18.560934217865494</v>
      </c>
      <c r="G60" s="14">
        <f>[422]NºAsuntos!$E$54/Población!$Q$60*1000</f>
        <v>6.3847714892657512</v>
      </c>
    </row>
    <row r="61" spans="2:7" ht="20.100000000000001" customHeight="1" thickBot="1" x14ac:dyDescent="0.25">
      <c r="B61" s="9" t="s">
        <v>79</v>
      </c>
      <c r="C61" s="14">
        <f>[423]NºAsuntos!$E$61/Población!$Q$61*1000</f>
        <v>220.42671527388296</v>
      </c>
      <c r="D61" s="14">
        <f>[423]NºAsuntos!$E$21/Población!$Q$61*1000</f>
        <v>32.342493924097965</v>
      </c>
      <c r="E61" s="14">
        <f>[423]NºAsuntos!$E$40/Población!$Q$61*1000</f>
        <v>159.3405309403627</v>
      </c>
      <c r="F61" s="14">
        <f>[423]NºAsuntos!$E$47/Población!$Q$61*1000</f>
        <v>21.043653019255935</v>
      </c>
      <c r="G61" s="14">
        <f>[423]NºAsuntos!$E$54/Población!$Q$61*1000</f>
        <v>7.7000373901663863</v>
      </c>
    </row>
    <row r="62" spans="2:7" ht="20.100000000000001" customHeight="1" thickBot="1" x14ac:dyDescent="0.25">
      <c r="B62" s="12" t="s">
        <v>6</v>
      </c>
      <c r="C62" s="15">
        <f>[424]NºAsuntos!$E$60/Población!$S$62*1000</f>
        <v>182.05589127850106</v>
      </c>
      <c r="D62" s="15">
        <f>[424]NºAsuntos!$E$20/Población!$S$62*1000</f>
        <v>44.534100349968952</v>
      </c>
      <c r="E62" s="15">
        <f>[424]NºAsuntos!$E$39/Población!$S$62*1000</f>
        <v>124.66841758500556</v>
      </c>
      <c r="F62" s="15">
        <f>[424]NºAsuntos!$E$46/Población!$S$62*1000</f>
        <v>4.2676379943267362</v>
      </c>
      <c r="G62" s="15">
        <f>[424]NºAsuntos!$E$53/Población!$S$62*1000</f>
        <v>8.5800667231639718</v>
      </c>
    </row>
  </sheetData>
  <pageMargins left="0.75" right="0.75" top="1" bottom="1" header="0" footer="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1"/>
  <dimension ref="B8:Q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1.42578125" style="1"/>
  </cols>
  <sheetData>
    <row r="8" spans="2:17" ht="13.5" thickBot="1" x14ac:dyDescent="0.25"/>
    <row r="9" spans="2:1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17" ht="20.100000000000001" customHeight="1" thickBot="1" x14ac:dyDescent="0.25">
      <c r="B10" s="9" t="s">
        <v>31</v>
      </c>
      <c r="C10" s="14">
        <f>[425]NºAsuntos!$E$36/Población!$P$10*1000</f>
        <v>139.75520608987196</v>
      </c>
      <c r="D10" s="14">
        <f>[425]NºAsuntos!$E$17/Población!$P$10*1000</f>
        <v>41.258277978875888</v>
      </c>
      <c r="E10" s="14">
        <f>[425]NºAsuntos!$E$28/Población!$P$10*1000</f>
        <v>87.763579160022871</v>
      </c>
      <c r="F10" s="14">
        <f>[425]NºAsuntos!$E$31/Población!$P$10*1000</f>
        <v>2.1360900986682183</v>
      </c>
      <c r="G10" s="14">
        <f>[425]NºAsuntos!$E$35/Población!$P$10*1000</f>
        <v>8.5972588523049875</v>
      </c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17" ht="20.100000000000001" customHeight="1" thickBot="1" x14ac:dyDescent="0.25">
      <c r="B11" s="9" t="s">
        <v>32</v>
      </c>
      <c r="C11" s="14">
        <f>[426]NºAsuntos!$E$36/Población!$P$11*1000</f>
        <v>184.18700540237353</v>
      </c>
      <c r="D11" s="14">
        <f>[426]NºAsuntos!$E$17/Población!$P$11*1000</f>
        <v>41.790522350755019</v>
      </c>
      <c r="E11" s="14">
        <f>[426]NºAsuntos!$E$28/Población!$P$11*1000</f>
        <v>134.14306495586155</v>
      </c>
      <c r="F11" s="14">
        <f>[426]NºAsuntos!$E$31/Población!$P$11*1000</f>
        <v>2.0150521451608241</v>
      </c>
      <c r="G11" s="14">
        <f>[426]NºAsuntos!$E$35/Población!$P$11*1000</f>
        <v>6.2383659505961662</v>
      </c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17" ht="20.100000000000001" customHeight="1" thickBot="1" x14ac:dyDescent="0.25">
      <c r="B12" s="9" t="s">
        <v>33</v>
      </c>
      <c r="C12" s="14">
        <f>[427]NºAsuntos!$E$36/Población!$P$12*1000</f>
        <v>202.15394876355302</v>
      </c>
      <c r="D12" s="14">
        <f>[427]NºAsuntos!$E$17/Población!$P$12*1000</f>
        <v>40.385470465506039</v>
      </c>
      <c r="E12" s="14">
        <f>[427]NºAsuntos!$E$28/Población!$P$12*1000</f>
        <v>148.12851295732577</v>
      </c>
      <c r="F12" s="14">
        <f>[427]NºAsuntos!$E$31/Población!$P$12*1000</f>
        <v>6.567021240209324</v>
      </c>
      <c r="G12" s="14">
        <f>[427]NºAsuntos!$E$35/Población!$P$12*1000</f>
        <v>7.0729441005119078</v>
      </c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17" ht="20.100000000000001" customHeight="1" thickBot="1" x14ac:dyDescent="0.25">
      <c r="B13" s="9" t="s">
        <v>34</v>
      </c>
      <c r="C13" s="14">
        <f>[428]NºAsuntos!$E$36/Población!$P$13*1000</f>
        <v>142.53320577016265</v>
      </c>
      <c r="D13" s="14">
        <f>[428]NºAsuntos!$E$17/Población!$P$13*1000</f>
        <v>37.61663953878459</v>
      </c>
      <c r="E13" s="14">
        <f>[428]NºAsuntos!$E$28/Población!$P$13*1000</f>
        <v>90.29546612328069</v>
      </c>
      <c r="F13" s="14">
        <f>[428]NºAsuntos!$E$31/Población!$P$13*1000</f>
        <v>3.6591578345737608</v>
      </c>
      <c r="G13" s="14">
        <f>[428]NºAsuntos!$E$35/Población!$P$13*1000</f>
        <v>10.961942273523603</v>
      </c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2:17" ht="20.100000000000001" customHeight="1" thickBot="1" x14ac:dyDescent="0.25">
      <c r="B14" s="9" t="s">
        <v>35</v>
      </c>
      <c r="C14" s="14">
        <f>[429]NºAsuntos!$E$36/Población!$P$14*1000</f>
        <v>160.21006709639505</v>
      </c>
      <c r="D14" s="14">
        <f>[429]NºAsuntos!$E$17/Población!$P$14*1000</f>
        <v>51.536322846303669</v>
      </c>
      <c r="E14" s="14">
        <f>[429]NºAsuntos!$E$28/Población!$P$14*1000</f>
        <v>93.816281706908171</v>
      </c>
      <c r="F14" s="14">
        <f>[429]NºAsuntos!$E$31/Población!$P$14*1000</f>
        <v>2.2980797848093157</v>
      </c>
      <c r="G14" s="14">
        <f>[429]NºAsuntos!$E$35/Población!$P$14*1000</f>
        <v>12.559382758373863</v>
      </c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2:17" ht="20.100000000000001" customHeight="1" thickBot="1" x14ac:dyDescent="0.25">
      <c r="B15" s="9" t="s">
        <v>36</v>
      </c>
      <c r="C15" s="14">
        <f>[430]NºAsuntos!$E$36/Población!$P$15*1000</f>
        <v>132.29350657126608</v>
      </c>
      <c r="D15" s="14">
        <f>[430]NºAsuntos!$E$17/Población!$P$15*1000</f>
        <v>37.104451695955454</v>
      </c>
      <c r="E15" s="14">
        <f>[430]NºAsuntos!$E$28/Población!$P$15*1000</f>
        <v>89.441068167529863</v>
      </c>
      <c r="F15" s="14">
        <f>[430]NºAsuntos!$E$31/Población!$P$15*1000</f>
        <v>2.2213573631110979</v>
      </c>
      <c r="G15" s="14">
        <f>[430]NºAsuntos!$E$35/Población!$P$15*1000</f>
        <v>3.5266293446696402</v>
      </c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2:17" ht="20.100000000000001" customHeight="1" thickBot="1" x14ac:dyDescent="0.25">
      <c r="B16" s="9" t="s">
        <v>37</v>
      </c>
      <c r="C16" s="14">
        <f>[431]NºAsuntos!$E$36/Población!$P$16*1000</f>
        <v>145.42594101564706</v>
      </c>
      <c r="D16" s="14">
        <f>[431]NºAsuntos!$E$17/Población!$P$16*1000</f>
        <v>33.774816225690344</v>
      </c>
      <c r="E16" s="14">
        <f>[431]NºAsuntos!$E$28/Población!$P$16*1000</f>
        <v>104.92829219789587</v>
      </c>
      <c r="F16" s="14">
        <f>[431]NºAsuntos!$E$31/Población!$P$16*1000</f>
        <v>1.930733838064403</v>
      </c>
      <c r="G16" s="14">
        <f>[431]NºAsuntos!$E$35/Población!$P$16*1000</f>
        <v>4.7920987539964308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2:17" ht="20.100000000000001" customHeight="1" thickBot="1" x14ac:dyDescent="0.25">
      <c r="B17" s="9" t="s">
        <v>29</v>
      </c>
      <c r="C17" s="14">
        <f>[432]NºAsuntos!$E$36/Población!$P$17*1000</f>
        <v>192.50218860619771</v>
      </c>
      <c r="D17" s="14">
        <f>[432]NºAsuntos!$E$17/Población!$P$17*1000</f>
        <v>45.364414260106102</v>
      </c>
      <c r="E17" s="14">
        <f>[432]NºAsuntos!$E$28/Población!$P$17*1000</f>
        <v>139.10925993391587</v>
      </c>
      <c r="F17" s="14">
        <f>[432]NºAsuntos!$E$31/Población!$P$17*1000</f>
        <v>1.467227094854102</v>
      </c>
      <c r="G17" s="14">
        <f>[432]NºAsuntos!$E$35/Población!$P$17*1000</f>
        <v>6.561287317321618</v>
      </c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20.100000000000001" customHeight="1" thickBot="1" x14ac:dyDescent="0.25">
      <c r="B18" s="9" t="s">
        <v>38</v>
      </c>
      <c r="C18" s="14">
        <f>[433]NºAsuntos!$E$36/Población!$P$18*1000</f>
        <v>171.39301609186748</v>
      </c>
      <c r="D18" s="14">
        <f>[433]NºAsuntos!$E$17/Población!$P$18*1000</f>
        <v>41.943892085570326</v>
      </c>
      <c r="E18" s="14">
        <f>[433]NºAsuntos!$E$28/Población!$P$18*1000</f>
        <v>118.94654099436183</v>
      </c>
      <c r="F18" s="14">
        <f>[433]NºAsuntos!$E$31/Población!$P$18*1000</f>
        <v>1.7500684313506829</v>
      </c>
      <c r="G18" s="14">
        <f>[433]NºAsuntos!$E$35/Población!$P$18*1000</f>
        <v>8.7525145805846147</v>
      </c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ht="20.100000000000001" customHeight="1" thickBot="1" x14ac:dyDescent="0.25">
      <c r="B19" s="9" t="s">
        <v>39</v>
      </c>
      <c r="C19" s="14">
        <f>[434]NºAsuntos!$E$36/Población!$P$19*1000</f>
        <v>128.33523597866142</v>
      </c>
      <c r="D19" s="14">
        <f>[434]NºAsuntos!$E$17/Población!$P$19*1000</f>
        <v>34.051419170851766</v>
      </c>
      <c r="E19" s="14">
        <f>[434]NºAsuntos!$E$28/Población!$P$19*1000</f>
        <v>82.161289342437087</v>
      </c>
      <c r="F19" s="14">
        <f>[434]NºAsuntos!$E$31/Población!$P$19*1000</f>
        <v>2.2744931222626867</v>
      </c>
      <c r="G19" s="14">
        <f>[434]NºAsuntos!$E$35/Población!$P$19*1000</f>
        <v>9.8480343431098909</v>
      </c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ht="20.100000000000001" customHeight="1" thickBot="1" x14ac:dyDescent="0.25">
      <c r="B20" s="9" t="s">
        <v>40</v>
      </c>
      <c r="C20" s="14">
        <f>[435]NºAsuntos!$E$36/Población!$P$20*1000</f>
        <v>153.14254565276642</v>
      </c>
      <c r="D20" s="14">
        <f>[435]NºAsuntos!$E$17/Población!$P$20*1000</f>
        <v>46.81384573453257</v>
      </c>
      <c r="E20" s="14">
        <f>[435]NºAsuntos!$E$28/Población!$P$20*1000</f>
        <v>93.033524121013897</v>
      </c>
      <c r="F20" s="14">
        <f>[435]NºAsuntos!$E$31/Población!$P$20*1000</f>
        <v>4.1564458980648684</v>
      </c>
      <c r="G20" s="14">
        <f>[435]NºAsuntos!$E$35/Población!$P$20*1000</f>
        <v>9.1387298991550843</v>
      </c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ht="20.100000000000001" customHeight="1" thickBot="1" x14ac:dyDescent="0.25">
      <c r="B21" s="9" t="s">
        <v>41</v>
      </c>
      <c r="C21" s="14">
        <f>[436]NºAsuntos!$E$36/Población!$P$21*1000</f>
        <v>124.43265647670802</v>
      </c>
      <c r="D21" s="14">
        <f>[436]NºAsuntos!$E$17/Población!$P$21*1000</f>
        <v>33.520673936819641</v>
      </c>
      <c r="E21" s="14">
        <f>[436]NºAsuntos!$E$28/Población!$P$21*1000</f>
        <v>84.988365634702959</v>
      </c>
      <c r="F21" s="14">
        <f>[436]NºAsuntos!$E$31/Población!$P$21*1000</f>
        <v>1.8497539778274199</v>
      </c>
      <c r="G21" s="14">
        <f>[436]NºAsuntos!$E$35/Población!$P$21*1000</f>
        <v>4.0738629273580083</v>
      </c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ht="20.100000000000001" customHeight="1" thickBot="1" x14ac:dyDescent="0.25">
      <c r="B22" s="9" t="s">
        <v>42</v>
      </c>
      <c r="C22" s="14">
        <f>[437]NºAsuntos!$E$36/Población!$P$22*1000</f>
        <v>197.23587396939948</v>
      </c>
      <c r="D22" s="14">
        <f>[437]NºAsuntos!$E$17/Población!$P$22*1000</f>
        <v>39.599250105831835</v>
      </c>
      <c r="E22" s="14">
        <f>[437]NºAsuntos!$E$28/Población!$P$22*1000</f>
        <v>143.52813111052876</v>
      </c>
      <c r="F22" s="14">
        <f>[437]NºAsuntos!$E$31/Población!$P$22*1000</f>
        <v>6.7151813252161991</v>
      </c>
      <c r="G22" s="14">
        <f>[437]NºAsuntos!$E$35/Población!$P$22*1000</f>
        <v>7.3933114278226864</v>
      </c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2:17" ht="20.100000000000001" customHeight="1" thickBot="1" x14ac:dyDescent="0.25">
      <c r="B23" s="9" t="s">
        <v>5</v>
      </c>
      <c r="C23" s="14">
        <f>[438]NºAsuntos!$E$36/Población!$P$23*1000</f>
        <v>186.24120029355004</v>
      </c>
      <c r="D23" s="14">
        <f>[438]NºAsuntos!$E$17/Población!$P$23*1000</f>
        <v>51.196284417384682</v>
      </c>
      <c r="E23" s="14">
        <f>[438]NºAsuntos!$E$28/Población!$P$23*1000</f>
        <v>124.73838710554212</v>
      </c>
      <c r="F23" s="14">
        <f>[438]NºAsuntos!$E$31/Población!$P$23*1000</f>
        <v>2.0929031556630697</v>
      </c>
      <c r="G23" s="14">
        <f>[438]NºAsuntos!$E$35/Población!$P$23*1000</f>
        <v>8.213625614960181</v>
      </c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2:17" ht="20.100000000000001" customHeight="1" thickBot="1" x14ac:dyDescent="0.25">
      <c r="B24" s="9" t="s">
        <v>43</v>
      </c>
      <c r="C24" s="14">
        <f>[439]NºAsuntos!$E$36/Población!$P$24*1000</f>
        <v>167.13134119024761</v>
      </c>
      <c r="D24" s="14">
        <f>[439]NºAsuntos!$E$17/Población!$P$24*1000</f>
        <v>41.41390415109241</v>
      </c>
      <c r="E24" s="14">
        <f>[439]NºAsuntos!$E$28/Población!$P$24*1000</f>
        <v>116.19756667143257</v>
      </c>
      <c r="F24" s="14">
        <f>[439]NºAsuntos!$E$31/Población!$P$24*1000</f>
        <v>2.022100124594048</v>
      </c>
      <c r="G24" s="14">
        <f>[439]NºAsuntos!$E$35/Población!$P$24*1000</f>
        <v>7.4977702431286044</v>
      </c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17" ht="20.100000000000001" customHeight="1" thickBot="1" x14ac:dyDescent="0.25">
      <c r="B25" s="9" t="s">
        <v>44</v>
      </c>
      <c r="C25" s="14">
        <f>[440]NºAsuntos!$E$36/Población!$P$25*1000</f>
        <v>141.80938506157466</v>
      </c>
      <c r="D25" s="14">
        <f>[440]NºAsuntos!$E$17/Población!$P$25*1000</f>
        <v>34.687353857582465</v>
      </c>
      <c r="E25" s="14">
        <f>[440]NºAsuntos!$E$28/Población!$P$25*1000</f>
        <v>99.541389457153684</v>
      </c>
      <c r="F25" s="14">
        <f>[440]NºAsuntos!$E$31/Población!$P$25*1000</f>
        <v>1.6493043861489225</v>
      </c>
      <c r="G25" s="14">
        <f>[440]NºAsuntos!$E$35/Población!$P$25*1000</f>
        <v>5.9313373606895903</v>
      </c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2:17" ht="20.100000000000001" customHeight="1" thickBot="1" x14ac:dyDescent="0.25">
      <c r="B26" s="9" t="s">
        <v>45</v>
      </c>
      <c r="C26" s="14">
        <f>[441]NºAsuntos!$E$36/Población!$P$26*1000</f>
        <v>170.88273484429612</v>
      </c>
      <c r="D26" s="14">
        <f>[441]NºAsuntos!$E$17/Población!$P$26*1000</f>
        <v>37.379190945231556</v>
      </c>
      <c r="E26" s="14">
        <f>[441]NºAsuntos!$E$28/Población!$P$26*1000</f>
        <v>122.39148763700867</v>
      </c>
      <c r="F26" s="14">
        <f>[441]NºAsuntos!$E$31/Población!$P$26*1000</f>
        <v>5.766810690991516</v>
      </c>
      <c r="G26" s="14">
        <f>[441]NºAsuntos!$E$35/Población!$P$26*1000</f>
        <v>5.3452455710643703</v>
      </c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2:17" ht="20.100000000000001" customHeight="1" thickBot="1" x14ac:dyDescent="0.25">
      <c r="B27" s="9" t="s">
        <v>46</v>
      </c>
      <c r="C27" s="14">
        <f>[442]NºAsuntos!$E$36/Población!$P$27*1000</f>
        <v>150.80667587741175</v>
      </c>
      <c r="D27" s="14">
        <f>[442]NºAsuntos!$E$17/Población!$P$27*1000</f>
        <v>43.697775737484939</v>
      </c>
      <c r="E27" s="14">
        <f>[442]NºAsuntos!$E$28/Población!$P$27*1000</f>
        <v>93.418142813632485</v>
      </c>
      <c r="F27" s="14">
        <f>[442]NºAsuntos!$E$31/Población!$P$27*1000</f>
        <v>3.2205237765231938</v>
      </c>
      <c r="G27" s="14">
        <f>[442]NºAsuntos!$E$35/Población!$P$27*1000</f>
        <v>10.470233549771129</v>
      </c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2:17" ht="20.100000000000001" customHeight="1" thickBot="1" x14ac:dyDescent="0.25">
      <c r="B28" s="9" t="s">
        <v>47</v>
      </c>
      <c r="C28" s="14">
        <f>[443]NºAsuntos!$E$36/Población!$P$28*1000</f>
        <v>135.98523010474864</v>
      </c>
      <c r="D28" s="14">
        <f>[443]NºAsuntos!$E$17/Población!$P$28*1000</f>
        <v>30.441216877401192</v>
      </c>
      <c r="E28" s="14">
        <f>[443]NºAsuntos!$E$28/Población!$P$28*1000</f>
        <v>97.045538903537732</v>
      </c>
      <c r="F28" s="14">
        <f>[443]NºAsuntos!$E$31/Población!$P$28*1000</f>
        <v>2.5693061909192139</v>
      </c>
      <c r="G28" s="14">
        <f>[443]NºAsuntos!$E$35/Población!$P$28*1000</f>
        <v>5.929168132890493</v>
      </c>
    </row>
    <row r="29" spans="2:17" ht="20.100000000000001" customHeight="1" thickBot="1" x14ac:dyDescent="0.25">
      <c r="B29" s="9" t="s">
        <v>48</v>
      </c>
      <c r="C29" s="14">
        <f>[444]NºAsuntos!$E$36/Población!$P$10*1000</f>
        <v>188.86512656585734</v>
      </c>
      <c r="D29" s="14">
        <f>[444]NºAsuntos!$E$17/Población!$P$10*1000</f>
        <v>42.893092217125499</v>
      </c>
      <c r="E29" s="14">
        <f>[444]NºAsuntos!$E$28/Población!$P$10*1000</f>
        <v>130.00173809217935</v>
      </c>
      <c r="F29" s="14">
        <f>[444]NºAsuntos!$E$31/Población!$P$10*1000</f>
        <v>3.4635894878169813</v>
      </c>
      <c r="G29" s="14">
        <f>[444]NºAsuntos!$E$35/Población!$P$10*1000</f>
        <v>12.5067067687355</v>
      </c>
    </row>
    <row r="30" spans="2:17" ht="20.100000000000001" customHeight="1" thickBot="1" x14ac:dyDescent="0.25">
      <c r="B30" s="9" t="s">
        <v>49</v>
      </c>
      <c r="C30" s="14">
        <f>[445]NºAsuntos!$E$36/Población!$P$30*1000</f>
        <v>166.76717502737532</v>
      </c>
      <c r="D30" s="14">
        <f>[445]NºAsuntos!$E$17/Población!$P$30*1000</f>
        <v>39.72989700537984</v>
      </c>
      <c r="E30" s="14">
        <f>[445]NºAsuntos!$E$28/Población!$P$30*1000</f>
        <v>120.54258645041499</v>
      </c>
      <c r="F30" s="14">
        <f>[445]NºAsuntos!$E$31/Población!$P$30*1000</f>
        <v>1.7919582731605646</v>
      </c>
      <c r="G30" s="14">
        <f>[445]NºAsuntos!$E$35/Población!$P$30*1000</f>
        <v>4.7027332984199033</v>
      </c>
    </row>
    <row r="31" spans="2:17" ht="20.100000000000001" customHeight="1" thickBot="1" x14ac:dyDescent="0.25">
      <c r="B31" s="9" t="s">
        <v>50</v>
      </c>
      <c r="C31" s="14">
        <f>[446]NºAsuntos!$E$36/Población!$P$31*1000</f>
        <v>247.49443964087422</v>
      </c>
      <c r="D31" s="14">
        <f>[446]NºAsuntos!$E$17/Población!$P$31*1000</f>
        <v>42.334861412467163</v>
      </c>
      <c r="E31" s="14">
        <f>[446]NºAsuntos!$E$28/Población!$P$31*1000</f>
        <v>188.83904051856805</v>
      </c>
      <c r="F31" s="14">
        <f>[446]NºAsuntos!$E$31/Población!$P$31*1000</f>
        <v>6.4407719790528084</v>
      </c>
      <c r="G31" s="14">
        <f>[446]NºAsuntos!$E$35/Población!$P$31*1000</f>
        <v>9.8797657307861719</v>
      </c>
    </row>
    <row r="32" spans="2:17" ht="20.100000000000001" customHeight="1" thickBot="1" x14ac:dyDescent="0.25">
      <c r="B32" s="9" t="s">
        <v>51</v>
      </c>
      <c r="C32" s="14">
        <f>[447]NºAsuntos!$E$36/Población!$P$32*1000</f>
        <v>142.8280597903111</v>
      </c>
      <c r="D32" s="14">
        <f>[447]NºAsuntos!$E$17/Población!$P$32*1000</f>
        <v>36.848245675851324</v>
      </c>
      <c r="E32" s="14">
        <f>[447]NºAsuntos!$E$28/Población!$P$32*1000</f>
        <v>96.125688066210955</v>
      </c>
      <c r="F32" s="14">
        <f>[447]NºAsuntos!$E$31/Población!$P$32*1000</f>
        <v>3.3003687956590166</v>
      </c>
      <c r="G32" s="14">
        <f>[447]NºAsuntos!$E$35/Población!$P$32*1000</f>
        <v>6.5537572525897918</v>
      </c>
    </row>
    <row r="33" spans="2:7" ht="20.100000000000001" customHeight="1" thickBot="1" x14ac:dyDescent="0.25">
      <c r="B33" s="9" t="s">
        <v>52</v>
      </c>
      <c r="C33" s="14">
        <f>[448]NºAsuntos!$E$36/Población!$P$33*1000</f>
        <v>180.71794911301177</v>
      </c>
      <c r="D33" s="14">
        <f>[448]NºAsuntos!$E$17/Población!$P$33*1000</f>
        <v>37.52294267076762</v>
      </c>
      <c r="E33" s="14">
        <f>[448]NºAsuntos!$E$28/Población!$P$33*1000</f>
        <v>129.09718062743028</v>
      </c>
      <c r="F33" s="14">
        <f>[448]NºAsuntos!$E$31/Población!$P$33*1000</f>
        <v>6.9044679707797529</v>
      </c>
      <c r="G33" s="14">
        <f>[448]NºAsuntos!$E$35/Población!$P$33*1000</f>
        <v>7.1933578440341348</v>
      </c>
    </row>
    <row r="34" spans="2:7" ht="20.100000000000001" customHeight="1" thickBot="1" x14ac:dyDescent="0.25">
      <c r="B34" s="9" t="s">
        <v>53</v>
      </c>
      <c r="C34" s="14">
        <f>[449]NºAsuntos!$E$36/Población!$P$34*1000</f>
        <v>136.16618276725254</v>
      </c>
      <c r="D34" s="14">
        <f>[449]NºAsuntos!$E$17/Población!$P$34*1000</f>
        <v>33.631379802497896</v>
      </c>
      <c r="E34" s="14">
        <f>[449]NºAsuntos!$E$28/Población!$P$34*1000</f>
        <v>97.781769515670788</v>
      </c>
      <c r="F34" s="14">
        <f>[449]NºAsuntos!$E$31/Población!$P$34*1000</f>
        <v>1.489491305372395</v>
      </c>
      <c r="G34" s="14">
        <f>[449]NºAsuntos!$E$35/Población!$P$34*1000</f>
        <v>3.2635421437114567</v>
      </c>
    </row>
    <row r="35" spans="2:7" ht="20.100000000000001" customHeight="1" thickBot="1" x14ac:dyDescent="0.25">
      <c r="B35" s="9" t="s">
        <v>54</v>
      </c>
      <c r="C35" s="14">
        <f>[450]NºAsuntos!$E$36/Población!$P$35*1000</f>
        <v>149.71480942532466</v>
      </c>
      <c r="D35" s="14">
        <f>[450]NºAsuntos!$E$17/Población!$P$35*1000</f>
        <v>35.706861416651364</v>
      </c>
      <c r="E35" s="14">
        <f>[450]NºAsuntos!$E$28/Población!$P$35*1000</f>
        <v>104.77320559061535</v>
      </c>
      <c r="F35" s="14">
        <f>[450]NºAsuntos!$E$31/Población!$P$35*1000</f>
        <v>4.6537882018047654</v>
      </c>
      <c r="G35" s="14">
        <f>[450]NºAsuntos!$E$35/Población!$P$35*1000</f>
        <v>4.5809542162532075</v>
      </c>
    </row>
    <row r="36" spans="2:7" ht="20.100000000000001" customHeight="1" thickBot="1" x14ac:dyDescent="0.25">
      <c r="B36" s="9" t="s">
        <v>55</v>
      </c>
      <c r="C36" s="14">
        <f>[451]NºAsuntos!$E$36/Población!$P$36*1000</f>
        <v>157.773770667679</v>
      </c>
      <c r="D36" s="14">
        <f>[451]NºAsuntos!$E$17/Población!$P$36*1000</f>
        <v>50.768113490160808</v>
      </c>
      <c r="E36" s="14">
        <f>[451]NºAsuntos!$E$28/Población!$P$36*1000</f>
        <v>95.010460207883739</v>
      </c>
      <c r="F36" s="14">
        <f>[451]NºAsuntos!$E$31/Población!$P$36*1000</f>
        <v>2.2570941666288422</v>
      </c>
      <c r="G36" s="14">
        <f>[451]NºAsuntos!$E$35/Población!$P$36*1000</f>
        <v>9.7381028030056083</v>
      </c>
    </row>
    <row r="37" spans="2:7" ht="20.100000000000001" customHeight="1" thickBot="1" x14ac:dyDescent="0.25">
      <c r="B37" s="9" t="s">
        <v>56</v>
      </c>
      <c r="C37" s="14">
        <f>[452]NºAsuntos!$E$36/Población!$P$37*1000</f>
        <v>139.73255768822446</v>
      </c>
      <c r="D37" s="14">
        <f>[452]NºAsuntos!$E$17/Población!$P$37*1000</f>
        <v>36.72822664788437</v>
      </c>
      <c r="E37" s="14">
        <f>[452]NºAsuntos!$E$28/Población!$P$37*1000</f>
        <v>96.787450256962885</v>
      </c>
      <c r="F37" s="14">
        <f>[452]NºAsuntos!$E$31/Población!$P$37*1000</f>
        <v>1.6872107597927859</v>
      </c>
      <c r="G37" s="14">
        <f>[452]NºAsuntos!$E$35/Población!$P$37*1000</f>
        <v>4.5296700235844209</v>
      </c>
    </row>
    <row r="38" spans="2:7" ht="20.100000000000001" customHeight="1" thickBot="1" x14ac:dyDescent="0.25">
      <c r="B38" s="9" t="s">
        <v>57</v>
      </c>
      <c r="C38" s="14">
        <f>[453]NºAsuntos!$E$36/Población!$P$38*1000</f>
        <v>141.50337857551321</v>
      </c>
      <c r="D38" s="14">
        <f>[453]NºAsuntos!$E$17/Población!$P$38*1000</f>
        <v>43.906893694492744</v>
      </c>
      <c r="E38" s="14">
        <f>[453]NºAsuntos!$E$28/Población!$P$38*1000</f>
        <v>84.128864355153055</v>
      </c>
      <c r="F38" s="14">
        <f>[453]NºAsuntos!$E$31/Población!$P$38*1000</f>
        <v>2.1006687128735981</v>
      </c>
      <c r="G38" s="14">
        <f>[453]NºAsuntos!$E$35/Población!$P$38*1000</f>
        <v>11.366951812993802</v>
      </c>
    </row>
    <row r="39" spans="2:7" ht="20.100000000000001" customHeight="1" thickBot="1" x14ac:dyDescent="0.25">
      <c r="B39" s="9" t="s">
        <v>58</v>
      </c>
      <c r="C39" s="14">
        <f>[454]NºAsuntos!$E$36/Población!$P$39*1000</f>
        <v>198.22664708324811</v>
      </c>
      <c r="D39" s="14">
        <f>[454]NºAsuntos!$E$17/Población!$P$39*1000</f>
        <v>41.775893803335379</v>
      </c>
      <c r="E39" s="14">
        <f>[454]NºAsuntos!$E$28/Población!$P$39*1000</f>
        <v>144.27030075420953</v>
      </c>
      <c r="F39" s="14">
        <f>[454]NºAsuntos!$E$31/Población!$P$39*1000</f>
        <v>3.0276832691914404</v>
      </c>
      <c r="G39" s="14">
        <f>[454]NºAsuntos!$E$35/Población!$P$39*1000</f>
        <v>9.152769256511796</v>
      </c>
    </row>
    <row r="40" spans="2:7" ht="20.100000000000001" customHeight="1" thickBot="1" x14ac:dyDescent="0.25">
      <c r="B40" s="9" t="s">
        <v>59</v>
      </c>
      <c r="C40" s="14">
        <f>[455]NºAsuntos!$E$36/Población!$P$40*1000</f>
        <v>278.16331764868357</v>
      </c>
      <c r="D40" s="14">
        <f>[455]NºAsuntos!$E$17/Población!$P$40*1000</f>
        <v>47.681581880776932</v>
      </c>
      <c r="E40" s="14">
        <f>[455]NºAsuntos!$E$28/Población!$P$40*1000</f>
        <v>214.43148076904106</v>
      </c>
      <c r="F40" s="14">
        <f>[455]NºAsuntos!$E$31/Población!$P$40*1000</f>
        <v>7.2202410898365441</v>
      </c>
      <c r="G40" s="14">
        <f>[455]NºAsuntos!$E$35/Población!$P$40*1000</f>
        <v>8.8300139090290326</v>
      </c>
    </row>
    <row r="41" spans="2:7" ht="20.100000000000001" customHeight="1" thickBot="1" x14ac:dyDescent="0.25">
      <c r="B41" s="9" t="s">
        <v>60</v>
      </c>
      <c r="C41" s="14">
        <f>[456]NºAsuntos!$E$36/Población!$P$41*1000</f>
        <v>187.29794698456115</v>
      </c>
      <c r="D41" s="14">
        <f>[456]NºAsuntos!$E$17/Población!$P$41*1000</f>
        <v>46.167281830465676</v>
      </c>
      <c r="E41" s="14">
        <f>[456]NºAsuntos!$E$28/Población!$P$41*1000</f>
        <v>131.93388682167796</v>
      </c>
      <c r="F41" s="14">
        <f>[456]NºAsuntos!$E$31/Población!$P$41*1000</f>
        <v>2.6029132448606438</v>
      </c>
      <c r="G41" s="14">
        <f>[456]NºAsuntos!$E$35/Población!$P$41*1000</f>
        <v>6.5938650875568747</v>
      </c>
    </row>
    <row r="42" spans="2:7" ht="20.100000000000001" customHeight="1" thickBot="1" x14ac:dyDescent="0.25">
      <c r="B42" s="9" t="s">
        <v>61</v>
      </c>
      <c r="C42" s="14">
        <f>[457]NºAsuntos!$E$36/Población!$P$42*1000</f>
        <v>154.79798373882238</v>
      </c>
      <c r="D42" s="14">
        <f>[457]NºAsuntos!$E$17/Población!$P$42*1000</f>
        <v>29.139031507982335</v>
      </c>
      <c r="E42" s="14">
        <f>[457]NºAsuntos!$E$28/Población!$P$42*1000</f>
        <v>117.1038873890042</v>
      </c>
      <c r="F42" s="14">
        <f>[457]NºAsuntos!$E$31/Población!$P$42*1000</f>
        <v>1.5652553878805848</v>
      </c>
      <c r="G42" s="14">
        <f>[457]NºAsuntos!$E$35/Población!$P$42*1000</f>
        <v>6.9898094539552744</v>
      </c>
    </row>
    <row r="43" spans="2:7" ht="20.100000000000001" customHeight="1" thickBot="1" x14ac:dyDescent="0.25">
      <c r="B43" s="9" t="s">
        <v>62</v>
      </c>
      <c r="C43" s="14">
        <f>[458]NºAsuntos!$E$36/Población!$P$43*1000</f>
        <v>156.97517476333647</v>
      </c>
      <c r="D43" s="14">
        <f>[458]NºAsuntos!$E$17/Población!$P$43*1000</f>
        <v>44.540216511062916</v>
      </c>
      <c r="E43" s="14">
        <f>[458]NºAsuntos!$E$28/Población!$P$43*1000</f>
        <v>98.007092924761011</v>
      </c>
      <c r="F43" s="14">
        <f>[458]NºAsuntos!$E$31/Población!$P$43*1000</f>
        <v>2.6963042945394404</v>
      </c>
      <c r="G43" s="14">
        <f>[458]NºAsuntos!$E$35/Población!$P$43*1000</f>
        <v>11.731561032973101</v>
      </c>
    </row>
    <row r="44" spans="2:7" ht="20.100000000000001" customHeight="1" thickBot="1" x14ac:dyDescent="0.25">
      <c r="B44" s="9" t="s">
        <v>63</v>
      </c>
      <c r="C44" s="14">
        <f>[459]NºAsuntos!$E$36/Población!$P$44*1000</f>
        <v>167.62226372092189</v>
      </c>
      <c r="D44" s="14">
        <f>[459]NºAsuntos!$E$17/Población!$P$44*1000</f>
        <v>50.003281446700356</v>
      </c>
      <c r="E44" s="14">
        <f>[459]NºAsuntos!$E$28/Población!$P$44*1000</f>
        <v>106.22341282389371</v>
      </c>
      <c r="F44" s="14">
        <f>[459]NºAsuntos!$E$31/Población!$P$44*1000</f>
        <v>3.2098514996211418</v>
      </c>
      <c r="G44" s="14">
        <f>[459]NºAsuntos!$E$35/Población!$P$44*1000</f>
        <v>8.1857179507067048</v>
      </c>
    </row>
    <row r="45" spans="2:7" ht="20.100000000000001" customHeight="1" thickBot="1" x14ac:dyDescent="0.25">
      <c r="B45" s="9" t="s">
        <v>64</v>
      </c>
      <c r="C45" s="14">
        <f>[460]NºAsuntos!$E$36/Población!$P$45*1000</f>
        <v>199.53328418302459</v>
      </c>
      <c r="D45" s="14">
        <f>[460]NºAsuntos!$E$17/Población!$P$45*1000</f>
        <v>42.452594345411519</v>
      </c>
      <c r="E45" s="14">
        <f>[460]NºAsuntos!$E$28/Población!$P$45*1000</f>
        <v>143.22466630364528</v>
      </c>
      <c r="F45" s="14">
        <f>[460]NºAsuntos!$E$31/Población!$P$45*1000</f>
        <v>2.4590305510682917</v>
      </c>
      <c r="G45" s="14">
        <f>[460]NºAsuntos!$E$35/Población!$P$45*1000</f>
        <v>11.39699298289951</v>
      </c>
    </row>
    <row r="46" spans="2:7" ht="20.100000000000001" customHeight="1" thickBot="1" x14ac:dyDescent="0.25">
      <c r="B46" s="9" t="s">
        <v>65</v>
      </c>
      <c r="C46" s="14">
        <f>[461]NºAsuntos!$E$36/Población!$P$46*1000</f>
        <v>191.84283834900765</v>
      </c>
      <c r="D46" s="14">
        <f>[461]NºAsuntos!$E$17/Población!$P$46*1000</f>
        <v>52.1095908273996</v>
      </c>
      <c r="E46" s="14">
        <f>[461]NºAsuntos!$E$28/Población!$P$46*1000</f>
        <v>127.11913422699514</v>
      </c>
      <c r="F46" s="14">
        <f>[461]NºAsuntos!$E$31/Población!$P$46*1000</f>
        <v>2.7436616578278485</v>
      </c>
      <c r="G46" s="14">
        <f>[461]NºAsuntos!$E$35/Población!$P$46*1000</f>
        <v>9.870451636785047</v>
      </c>
    </row>
    <row r="47" spans="2:7" ht="20.100000000000001" customHeight="1" thickBot="1" x14ac:dyDescent="0.25">
      <c r="B47" s="9" t="s">
        <v>30</v>
      </c>
      <c r="C47" s="14">
        <f>[462]NºAsuntos!$E$36/Población!$P$47*1000</f>
        <v>117.15600529150286</v>
      </c>
      <c r="D47" s="14">
        <f>[462]NºAsuntos!$E$17/Población!$P$47*1000</f>
        <v>38.137691926696391</v>
      </c>
      <c r="E47" s="14">
        <f>[462]NºAsuntos!$E$28/Población!$P$47*1000</f>
        <v>66.720584823919594</v>
      </c>
      <c r="F47" s="14">
        <f>[462]NºAsuntos!$E$31/Población!$P$47*1000</f>
        <v>3.2601676478517376</v>
      </c>
      <c r="G47" s="14">
        <f>[462]NºAsuntos!$E$35/Población!$P$47*1000</f>
        <v>9.0375608930351525</v>
      </c>
    </row>
    <row r="48" spans="2:7" ht="20.100000000000001" customHeight="1" thickBot="1" x14ac:dyDescent="0.25">
      <c r="B48" s="9" t="s">
        <v>66</v>
      </c>
      <c r="C48" s="14">
        <f>[463]NºAsuntos!$E$36/Población!$P$48*1000</f>
        <v>147.25266382253056</v>
      </c>
      <c r="D48" s="14">
        <f>[463]NºAsuntos!$E$17/Población!$P$48*1000</f>
        <v>41.050169509342723</v>
      </c>
      <c r="E48" s="14">
        <f>[463]NºAsuntos!$E$28/Población!$P$48*1000</f>
        <v>98.157735670547424</v>
      </c>
      <c r="F48" s="14">
        <f>[463]NºAsuntos!$E$31/Población!$P$48*1000</f>
        <v>2.394447218499149</v>
      </c>
      <c r="G48" s="14">
        <f>[463]NºAsuntos!$E$35/Población!$P$48*1000</f>
        <v>5.6503114241412842</v>
      </c>
    </row>
    <row r="49" spans="2:7" ht="20.100000000000001" customHeight="1" thickBot="1" x14ac:dyDescent="0.25">
      <c r="B49" s="9" t="s">
        <v>67</v>
      </c>
      <c r="C49" s="14">
        <f>[464]NºAsuntos!$E$36/Población!$P$49*1000</f>
        <v>176.47105658108975</v>
      </c>
      <c r="D49" s="14">
        <f>[464]NºAsuntos!$E$17/Población!$P$49*1000</f>
        <v>35.457230779030006</v>
      </c>
      <c r="E49" s="14">
        <f>[464]NºAsuntos!$E$28/Población!$P$49*1000</f>
        <v>131.59989968033059</v>
      </c>
      <c r="F49" s="14">
        <f>[464]NºAsuntos!$E$31/Población!$P$49*1000</f>
        <v>1.8571081661007098</v>
      </c>
      <c r="G49" s="14">
        <f>[464]NºAsuntos!$E$35/Población!$P$49*1000</f>
        <v>7.5568179556284507</v>
      </c>
    </row>
    <row r="50" spans="2:7" ht="20.100000000000001" customHeight="1" thickBot="1" x14ac:dyDescent="0.25">
      <c r="B50" s="9" t="s">
        <v>68</v>
      </c>
      <c r="C50" s="14">
        <f>[465]NºAsuntos!$E$36/Población!$P$50*1000</f>
        <v>135.07592449608609</v>
      </c>
      <c r="D50" s="14">
        <f>[465]NºAsuntos!$E$17/Población!$P$50*1000</f>
        <v>38.310640728674286</v>
      </c>
      <c r="E50" s="14">
        <f>[465]NºAsuntos!$E$28/Población!$P$50*1000</f>
        <v>89.163418140273563</v>
      </c>
      <c r="F50" s="14">
        <f>[465]NºAsuntos!$E$31/Población!$P$50*1000</f>
        <v>2.4669968550498109</v>
      </c>
      <c r="G50" s="14">
        <f>[465]NºAsuntos!$E$35/Población!$P$50*1000</f>
        <v>5.1348687720884101</v>
      </c>
    </row>
    <row r="51" spans="2:7" ht="20.100000000000001" customHeight="1" thickBot="1" x14ac:dyDescent="0.25">
      <c r="B51" s="9" t="s">
        <v>69</v>
      </c>
      <c r="C51" s="14">
        <f>[466]NºAsuntos!$E$36/Población!$P$51*1000</f>
        <v>215.76939817807667</v>
      </c>
      <c r="D51" s="14">
        <f>[466]NºAsuntos!$E$17/Población!$P$51*1000</f>
        <v>40.605659449199138</v>
      </c>
      <c r="E51" s="14">
        <f>[466]NºAsuntos!$E$28/Población!$P$51*1000</f>
        <v>162.65701018103334</v>
      </c>
      <c r="F51" s="14">
        <f>[466]NºAsuntos!$E$31/Población!$P$51*1000</f>
        <v>5.1175596426207468</v>
      </c>
      <c r="G51" s="14">
        <f>[466]NºAsuntos!$E$35/Población!$P$51*1000</f>
        <v>7.3891689052234133</v>
      </c>
    </row>
    <row r="52" spans="2:7" ht="20.100000000000001" customHeight="1" thickBot="1" x14ac:dyDescent="0.25">
      <c r="B52" s="9" t="s">
        <v>70</v>
      </c>
      <c r="C52" s="14">
        <f>[467]NºAsuntos!$E$36/Población!$P$52*1000</f>
        <v>123.73537480617212</v>
      </c>
      <c r="D52" s="14">
        <f>[467]NºAsuntos!$E$17/Población!$P$52*1000</f>
        <v>34.482384706303336</v>
      </c>
      <c r="E52" s="14">
        <f>[467]NºAsuntos!$E$28/Población!$P$52*1000</f>
        <v>78.431159931035239</v>
      </c>
      <c r="F52" s="14">
        <f>[467]NºAsuntos!$E$31/Población!$P$52*1000</f>
        <v>4.5109031565478581</v>
      </c>
      <c r="G52" s="14">
        <f>[467]NºAsuntos!$E$35/Población!$P$52*1000</f>
        <v>6.3109270122857044</v>
      </c>
    </row>
    <row r="53" spans="2:7" ht="20.100000000000001" customHeight="1" thickBot="1" x14ac:dyDescent="0.25">
      <c r="B53" s="9" t="s">
        <v>71</v>
      </c>
      <c r="C53" s="14">
        <f>[468]NºAsuntos!$E$36/Población!$P$53*1000</f>
        <v>190.61079052439442</v>
      </c>
      <c r="D53" s="14">
        <f>[468]NºAsuntos!$E$17/Población!$P$53*1000</f>
        <v>43.129386912238033</v>
      </c>
      <c r="E53" s="14">
        <f>[468]NºAsuntos!$E$28/Población!$P$53*1000</f>
        <v>140.27382073057149</v>
      </c>
      <c r="F53" s="14">
        <f>[468]NºAsuntos!$E$31/Población!$P$53*1000</f>
        <v>1.4120520074610281</v>
      </c>
      <c r="G53" s="14">
        <f>[468]NºAsuntos!$E$35/Población!$P$53*1000</f>
        <v>5.795530874123866</v>
      </c>
    </row>
    <row r="54" spans="2:7" ht="20.100000000000001" customHeight="1" thickBot="1" x14ac:dyDescent="0.25">
      <c r="B54" s="9" t="s">
        <v>72</v>
      </c>
      <c r="C54" s="14">
        <f>[469]NºAsuntos!$E$36/Población!$P$54*1000</f>
        <v>94.596231254230048</v>
      </c>
      <c r="D54" s="14">
        <f>[469]NºAsuntos!$E$17/Población!$P$54*1000</f>
        <v>24.272432586470988</v>
      </c>
      <c r="E54" s="14">
        <f>[469]NºAsuntos!$E$28/Población!$P$54*1000</f>
        <v>66.184590175613579</v>
      </c>
      <c r="F54" s="14">
        <f>[469]NºAsuntos!$E$31/Población!$P$54*1000</f>
        <v>1.1256367328037615</v>
      </c>
      <c r="G54" s="14">
        <f>[469]NºAsuntos!$E$35/Población!$P$54*1000</f>
        <v>3.0135717593417164</v>
      </c>
    </row>
    <row r="55" spans="2:7" ht="20.100000000000001" customHeight="1" thickBot="1" x14ac:dyDescent="0.25">
      <c r="B55" s="9" t="s">
        <v>73</v>
      </c>
      <c r="C55" s="14">
        <f>[470]NºAsuntos!$E$36/Población!$P$55*1000</f>
        <v>151.95326803368729</v>
      </c>
      <c r="D55" s="14">
        <f>[470]NºAsuntos!$E$17/Población!$P$55*1000</f>
        <v>36.753936287074332</v>
      </c>
      <c r="E55" s="14">
        <f>[470]NºAsuntos!$E$28/Población!$P$55*1000</f>
        <v>108.40952261076529</v>
      </c>
      <c r="F55" s="14">
        <f>[470]NºAsuntos!$E$31/Población!$P$55*1000</f>
        <v>1.8937660197729769</v>
      </c>
      <c r="G55" s="14">
        <f>[470]NºAsuntos!$E$35/Población!$P$55*1000</f>
        <v>4.896043116074698</v>
      </c>
    </row>
    <row r="56" spans="2:7" ht="20.100000000000001" customHeight="1" thickBot="1" x14ac:dyDescent="0.25">
      <c r="B56" s="9" t="s">
        <v>74</v>
      </c>
      <c r="C56" s="14">
        <f>[471]NºAsuntos!$E$36/Población!$P$56*1000</f>
        <v>189.33554814668926</v>
      </c>
      <c r="D56" s="14">
        <f>[471]NºAsuntos!$E$17/Población!$P$56*1000</f>
        <v>46.291770011981647</v>
      </c>
      <c r="E56" s="14">
        <f>[471]NºAsuntos!$E$28/Población!$P$56*1000</f>
        <v>132.6361431489216</v>
      </c>
      <c r="F56" s="14">
        <f>[471]NºAsuntos!$E$31/Población!$P$56*1000</f>
        <v>2.1173856309667944</v>
      </c>
      <c r="G56" s="14">
        <f>[471]NºAsuntos!$E$35/Población!$P$56*1000</f>
        <v>8.2902493548192204</v>
      </c>
    </row>
    <row r="57" spans="2:7" ht="20.100000000000001" customHeight="1" thickBot="1" x14ac:dyDescent="0.25">
      <c r="B57" s="9" t="s">
        <v>75</v>
      </c>
      <c r="C57" s="14">
        <f>[472]NºAsuntos!$E$36/Población!$P$57*1000</f>
        <v>158.21013423237338</v>
      </c>
      <c r="D57" s="14">
        <f>[472]NºAsuntos!$E$17/Población!$P$57*1000</f>
        <v>49.48814812995009</v>
      </c>
      <c r="E57" s="14">
        <f>[472]NºAsuntos!$E$28/Población!$P$57*1000</f>
        <v>98.035176705590217</v>
      </c>
      <c r="F57" s="14">
        <f>[472]NºAsuntos!$E$31/Población!$P$57*1000</f>
        <v>2.5247705312412005</v>
      </c>
      <c r="G57" s="14">
        <f>[472]NºAsuntos!$E$35/Población!$P$57*1000</f>
        <v>8.1620388655918763</v>
      </c>
    </row>
    <row r="58" spans="2:7" ht="20.100000000000001" customHeight="1" thickBot="1" x14ac:dyDescent="0.25">
      <c r="B58" s="9" t="s">
        <v>76</v>
      </c>
      <c r="C58" s="14">
        <f>[473]NºAsuntos!$E$36/Población!$P$58*1000</f>
        <v>142.44574830665687</v>
      </c>
      <c r="D58" s="14">
        <f>[473]NºAsuntos!$E$17/Población!$P$58*1000</f>
        <v>46.410544026920924</v>
      </c>
      <c r="E58" s="14">
        <f>[473]NºAsuntos!$E$28/Población!$P$58*1000</f>
        <v>87.444454031666595</v>
      </c>
      <c r="F58" s="14">
        <f>[473]NºAsuntos!$E$31/Población!$P$58*1000</f>
        <v>2.8689762284826781</v>
      </c>
      <c r="G58" s="14">
        <f>[473]NºAsuntos!$E$35/Población!$P$58*1000</f>
        <v>5.7217740195866948</v>
      </c>
    </row>
    <row r="59" spans="2:7" ht="20.100000000000001" customHeight="1" thickBot="1" x14ac:dyDescent="0.25">
      <c r="B59" s="9" t="s">
        <v>77</v>
      </c>
      <c r="C59" s="14">
        <f>[474]NºAsuntos!$E$36/Población!$P$59*1000</f>
        <v>153.77388656103304</v>
      </c>
      <c r="D59" s="14">
        <f>[474]NºAsuntos!$E$17/Población!$P$59*1000</f>
        <v>39.171512460538416</v>
      </c>
      <c r="E59" s="14">
        <f>[474]NºAsuntos!$E$28/Población!$P$59*1000</f>
        <v>105.16388209279968</v>
      </c>
      <c r="F59" s="14">
        <f>[474]NºAsuntos!$E$31/Población!$P$59*1000</f>
        <v>1.7133435613173893</v>
      </c>
      <c r="G59" s="14">
        <f>[474]NºAsuntos!$E$35/Población!$P$59*1000</f>
        <v>7.7251484463775544</v>
      </c>
    </row>
    <row r="60" spans="2:7" ht="20.100000000000001" customHeight="1" thickBot="1" x14ac:dyDescent="0.25">
      <c r="B60" s="9" t="s">
        <v>78</v>
      </c>
      <c r="C60" s="14">
        <f>[475]NºAsuntos!$E$61/Población!$P$60*1000</f>
        <v>202.0997375328084</v>
      </c>
      <c r="D60" s="14">
        <f>[475]NºAsuntos!$E$21/Población!$P$60*1000</f>
        <v>32.143403599213777</v>
      </c>
      <c r="E60" s="14">
        <f>[475]NºAsuntos!$E$40/Población!$P$60*1000</f>
        <v>144.67474076951143</v>
      </c>
      <c r="F60" s="14">
        <f>[475]NºAsuntos!$E$47/Población!$P$60*1000</f>
        <v>17.372267928392361</v>
      </c>
      <c r="G60" s="14">
        <f>[475]NºAsuntos!$E$54/Población!$P$60*1000</f>
        <v>7.9093252356908295</v>
      </c>
    </row>
    <row r="61" spans="2:7" ht="20.100000000000001" customHeight="1" thickBot="1" x14ac:dyDescent="0.25">
      <c r="B61" s="9" t="s">
        <v>79</v>
      </c>
      <c r="C61" s="14">
        <f>[476]NºAsuntos!$E$61/Población!$P$61*1000</f>
        <v>248.95573252552984</v>
      </c>
      <c r="D61" s="14">
        <f>[476]NºAsuntos!$E$21/Población!$P$61*1000</f>
        <v>29.996805074015786</v>
      </c>
      <c r="E61" s="14">
        <f>[476]NºAsuntos!$E$40/Población!$P$61*1000</f>
        <v>186.57184441893762</v>
      </c>
      <c r="F61" s="14">
        <f>[476]NºAsuntos!$E$47/Población!$P$61*1000</f>
        <v>24.494432545646024</v>
      </c>
      <c r="G61" s="14">
        <f>[476]NºAsuntos!$E$54/Población!$P$61*1000</f>
        <v>7.8926504869303855</v>
      </c>
    </row>
    <row r="62" spans="2:7" ht="20.100000000000001" customHeight="1" thickBot="1" x14ac:dyDescent="0.25">
      <c r="B62" s="12" t="s">
        <v>6</v>
      </c>
      <c r="C62" s="15">
        <f>[477]NºAsuntos!$E$60/Población!$S$62*1000</f>
        <v>187.86883108550839</v>
      </c>
      <c r="D62" s="15">
        <f>[477]NºAsuntos!$E$20/Población!$S$62*1000</f>
        <v>41.684993076975736</v>
      </c>
      <c r="E62" s="15">
        <f>[477]NºAsuntos!$E$39/Población!$S$62*1000</f>
        <v>132.54866665756251</v>
      </c>
      <c r="F62" s="15">
        <f>[477]NºAsuntos!$E$46/Población!$S$62*1000</f>
        <v>4.4393715967308518</v>
      </c>
      <c r="G62" s="15">
        <f>[477]NºAsuntos!$E$53/Población!$S$62*1000</f>
        <v>9.189315189607381</v>
      </c>
    </row>
  </sheetData>
  <pageMargins left="0.75" right="0.75" top="1" bottom="1" header="0" footer="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0"/>
  <dimension ref="B8:Q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1.42578125" style="1"/>
  </cols>
  <sheetData>
    <row r="8" spans="2:17" ht="13.5" thickBot="1" x14ac:dyDescent="0.25"/>
    <row r="9" spans="2:1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17" ht="20.100000000000001" customHeight="1" thickBot="1" x14ac:dyDescent="0.25">
      <c r="B10" s="9" t="s">
        <v>31</v>
      </c>
      <c r="C10" s="14">
        <f>[478]NºAsuntos!$E$36/Población!$O$10*1000</f>
        <v>139.43005997395045</v>
      </c>
      <c r="D10" s="14">
        <f>[478]NºAsuntos!$E$17/Población!$O$10*1000</f>
        <v>34.65689350436368</v>
      </c>
      <c r="E10" s="14">
        <f>[478]NºAsuntos!$E$28/Población!$O$10*1000</f>
        <v>91.335901621721618</v>
      </c>
      <c r="F10" s="14">
        <f>[478]NºAsuntos!$E$31/Población!$O$10*1000</f>
        <v>2.2574604944413474</v>
      </c>
      <c r="G10" s="14">
        <f>[478]NºAsuntos!$E$35/Población!$O$10*1000</f>
        <v>11.179804353423814</v>
      </c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17" ht="20.100000000000001" customHeight="1" thickBot="1" x14ac:dyDescent="0.25">
      <c r="B11" s="9" t="s">
        <v>32</v>
      </c>
      <c r="C11" s="14">
        <f>[479]NºAsuntos!$E$36/Población!$O$11*1000</f>
        <v>180.68997276991348</v>
      </c>
      <c r="D11" s="14">
        <f>[479]NºAsuntos!$E$17/Población!$O$11*1000</f>
        <v>38.049651477507169</v>
      </c>
      <c r="E11" s="14">
        <f>[479]NºAsuntos!$E$28/Población!$O$11*1000</f>
        <v>134.6624918664379</v>
      </c>
      <c r="F11" s="14">
        <f>[479]NºAsuntos!$E$31/Población!$O$11*1000</f>
        <v>1.6333940159597706</v>
      </c>
      <c r="G11" s="14">
        <f>[479]NºAsuntos!$E$35/Población!$O$11*1000</f>
        <v>6.3444354100086242</v>
      </c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17" ht="20.100000000000001" customHeight="1" thickBot="1" x14ac:dyDescent="0.25">
      <c r="B12" s="9" t="s">
        <v>33</v>
      </c>
      <c r="C12" s="14">
        <f>[480]NºAsuntos!$E$36/Población!$O$12*1000</f>
        <v>210.58042781008652</v>
      </c>
      <c r="D12" s="14">
        <f>[480]NºAsuntos!$E$17/Población!$O$12*1000</f>
        <v>39.728082204513186</v>
      </c>
      <c r="E12" s="14">
        <f>[480]NºAsuntos!$E$28/Población!$O$12*1000</f>
        <v>158.52052467436641</v>
      </c>
      <c r="F12" s="14">
        <f>[480]NºAsuntos!$E$31/Población!$O$12*1000</f>
        <v>3.5062181033533575</v>
      </c>
      <c r="G12" s="14">
        <f>[480]NºAsuntos!$E$35/Población!$O$12*1000</f>
        <v>8.8256028278535563</v>
      </c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17" ht="20.100000000000001" customHeight="1" thickBot="1" x14ac:dyDescent="0.25">
      <c r="B13" s="9" t="s">
        <v>34</v>
      </c>
      <c r="C13" s="14">
        <f>[481]NºAsuntos!$E$36/Población!$O$13*1000</f>
        <v>143.26560200611667</v>
      </c>
      <c r="D13" s="14">
        <f>[481]NºAsuntos!$E$17/Población!$O$13*1000</f>
        <v>36.528870594896972</v>
      </c>
      <c r="E13" s="14">
        <f>[481]NºAsuntos!$E$28/Población!$O$13*1000</f>
        <v>90.545926320014175</v>
      </c>
      <c r="F13" s="14">
        <f>[481]NºAsuntos!$E$31/Población!$O$13*1000</f>
        <v>3.1236680076038295</v>
      </c>
      <c r="G13" s="14">
        <f>[481]NºAsuntos!$E$35/Población!$O$13*1000</f>
        <v>13.067137083601677</v>
      </c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2:17" ht="20.100000000000001" customHeight="1" thickBot="1" x14ac:dyDescent="0.25">
      <c r="B14" s="9" t="s">
        <v>35</v>
      </c>
      <c r="C14" s="14">
        <f>[482]NºAsuntos!$E$36/Población!$O$14*1000</f>
        <v>157.72095135114895</v>
      </c>
      <c r="D14" s="14">
        <f>[482]NºAsuntos!$E$17/Población!$O$14*1000</f>
        <v>43.674900413325652</v>
      </c>
      <c r="E14" s="14">
        <f>[482]NºAsuntos!$E$28/Población!$O$14*1000</f>
        <v>98.959430425074785</v>
      </c>
      <c r="F14" s="14">
        <f>[482]NºAsuntos!$E$31/Población!$O$14*1000</f>
        <v>2.2140774131337388</v>
      </c>
      <c r="G14" s="14">
        <f>[482]NºAsuntos!$E$35/Población!$O$14*1000</f>
        <v>12.872543099614759</v>
      </c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2:17" ht="20.100000000000001" customHeight="1" thickBot="1" x14ac:dyDescent="0.25">
      <c r="B15" s="9" t="s">
        <v>36</v>
      </c>
      <c r="C15" s="14">
        <f>[483]NºAsuntos!$E$36/Población!$O$15*1000</f>
        <v>127.97275285058492</v>
      </c>
      <c r="D15" s="14">
        <f>[483]NºAsuntos!$E$17/Población!$O$15*1000</f>
        <v>32.43003109729009</v>
      </c>
      <c r="E15" s="14">
        <f>[483]NºAsuntos!$E$28/Población!$O$15*1000</f>
        <v>89.489115948467358</v>
      </c>
      <c r="F15" s="14">
        <f>[483]NºAsuntos!$E$31/Población!$O$15*1000</f>
        <v>2.0376129127795055</v>
      </c>
      <c r="G15" s="14">
        <f>[483]NºAsuntos!$E$35/Población!$O$15*1000</f>
        <v>4.0159928920479784</v>
      </c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2:17" ht="20.100000000000001" customHeight="1" thickBot="1" x14ac:dyDescent="0.25">
      <c r="B16" s="9" t="s">
        <v>37</v>
      </c>
      <c r="C16" s="14">
        <f>[484]NºAsuntos!$E$36/Población!$O$16*1000</f>
        <v>143.88904024482181</v>
      </c>
      <c r="D16" s="14">
        <f>[484]NºAsuntos!$E$17/Población!$O$16*1000</f>
        <v>31.032290707178163</v>
      </c>
      <c r="E16" s="14">
        <f>[484]NºAsuntos!$E$28/Población!$O$16*1000</f>
        <v>104.925698651779</v>
      </c>
      <c r="F16" s="14">
        <f>[484]NºAsuntos!$E$31/Población!$O$16*1000</f>
        <v>2.2501582029870457</v>
      </c>
      <c r="G16" s="14">
        <f>[484]NºAsuntos!$E$35/Población!$O$16*1000</f>
        <v>5.6808926828776078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2:17" ht="20.100000000000001" customHeight="1" thickBot="1" x14ac:dyDescent="0.25">
      <c r="B17" s="9" t="s">
        <v>29</v>
      </c>
      <c r="C17" s="14">
        <f>[485]NºAsuntos!$E$36/Población!$O$17*1000</f>
        <v>190.43532546411987</v>
      </c>
      <c r="D17" s="14">
        <f>[485]NºAsuntos!$E$17/Población!$O$17*1000</f>
        <v>42.075284660790842</v>
      </c>
      <c r="E17" s="14">
        <f>[485]NºAsuntos!$E$28/Población!$O$17*1000</f>
        <v>140.6761334707837</v>
      </c>
      <c r="F17" s="14">
        <f>[485]NºAsuntos!$E$31/Población!$O$17*1000</f>
        <v>1.4329740553435628</v>
      </c>
      <c r="G17" s="14">
        <f>[485]NºAsuntos!$E$35/Población!$O$17*1000</f>
        <v>6.2509332772017698</v>
      </c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20.100000000000001" customHeight="1" thickBot="1" x14ac:dyDescent="0.25">
      <c r="B18" s="9" t="s">
        <v>38</v>
      </c>
      <c r="C18" s="14">
        <f>[486]NºAsuntos!$E$36/Población!$O$18*1000</f>
        <v>172.60276939319698</v>
      </c>
      <c r="D18" s="14">
        <f>[486]NºAsuntos!$E$17/Población!$O$18*1000</f>
        <v>38.872209964942677</v>
      </c>
      <c r="E18" s="14">
        <f>[486]NºAsuntos!$E$28/Población!$O$18*1000</f>
        <v>122.63421721102523</v>
      </c>
      <c r="F18" s="14">
        <f>[486]NºAsuntos!$E$31/Población!$O$18*1000</f>
        <v>1.601537649399694</v>
      </c>
      <c r="G18" s="14">
        <f>[486]NºAsuntos!$E$35/Población!$O$18*1000</f>
        <v>9.4948045678293784</v>
      </c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ht="20.100000000000001" customHeight="1" thickBot="1" x14ac:dyDescent="0.25">
      <c r="B19" s="9" t="s">
        <v>39</v>
      </c>
      <c r="C19" s="14">
        <f>[487]NºAsuntos!$E$36/Población!$O$19*1000</f>
        <v>133.34982061434721</v>
      </c>
      <c r="D19" s="14">
        <f>[487]NºAsuntos!$E$17/Población!$O$19*1000</f>
        <v>31.811228703087995</v>
      </c>
      <c r="E19" s="14">
        <f>[487]NºAsuntos!$E$28/Población!$O$19*1000</f>
        <v>86.342045938983802</v>
      </c>
      <c r="F19" s="14">
        <f>[487]NºAsuntos!$E$31/Población!$O$19*1000</f>
        <v>1.8306070230628815</v>
      </c>
      <c r="G19" s="14">
        <f>[487]NºAsuntos!$E$35/Población!$O$19*1000</f>
        <v>13.365938949212545</v>
      </c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ht="20.100000000000001" customHeight="1" thickBot="1" x14ac:dyDescent="0.25">
      <c r="B20" s="9" t="s">
        <v>40</v>
      </c>
      <c r="C20" s="14">
        <f>[488]NºAsuntos!$E$36/Población!$O$20*1000</f>
        <v>146.30112485454467</v>
      </c>
      <c r="D20" s="14">
        <f>[488]NºAsuntos!$E$17/Población!$O$20*1000</f>
        <v>41.061500668017068</v>
      </c>
      <c r="E20" s="14">
        <f>[488]NºAsuntos!$E$28/Población!$O$20*1000</f>
        <v>90.836852993147431</v>
      </c>
      <c r="F20" s="14">
        <f>[488]NºAsuntos!$E$31/Población!$O$20*1000</f>
        <v>2.9306555186829288</v>
      </c>
      <c r="G20" s="14">
        <f>[488]NºAsuntos!$E$35/Población!$O$20*1000</f>
        <v>11.472115674697237</v>
      </c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ht="20.100000000000001" customHeight="1" thickBot="1" x14ac:dyDescent="0.25">
      <c r="B21" s="9" t="s">
        <v>41</v>
      </c>
      <c r="C21" s="14">
        <f>[489]NºAsuntos!$E$36/Población!$O$21*1000</f>
        <v>122.98092742672598</v>
      </c>
      <c r="D21" s="14">
        <f>[489]NºAsuntos!$E$17/Población!$O$21*1000</f>
        <v>30.306501736640058</v>
      </c>
      <c r="E21" s="14">
        <f>[489]NºAsuntos!$E$28/Población!$O$21*1000</f>
        <v>86.200719029918957</v>
      </c>
      <c r="F21" s="14">
        <f>[489]NºAsuntos!$E$31/Población!$O$21*1000</f>
        <v>1.8329169459508865</v>
      </c>
      <c r="G21" s="14">
        <f>[489]NºAsuntos!$E$35/Población!$O$21*1000</f>
        <v>4.6407897142160746</v>
      </c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ht="20.100000000000001" customHeight="1" thickBot="1" x14ac:dyDescent="0.25">
      <c r="B22" s="9" t="s">
        <v>42</v>
      </c>
      <c r="C22" s="14">
        <f>[490]NºAsuntos!$E$36/Población!$O$22*1000</f>
        <v>192.7892953688841</v>
      </c>
      <c r="D22" s="14">
        <f>[490]NºAsuntos!$E$17/Población!$O$22*1000</f>
        <v>35.200065886578194</v>
      </c>
      <c r="E22" s="14">
        <f>[490]NºAsuntos!$E$28/Población!$O$22*1000</f>
        <v>146.99893095797148</v>
      </c>
      <c r="F22" s="14">
        <f>[490]NºAsuntos!$E$31/Población!$O$22*1000</f>
        <v>4.4223135878148589</v>
      </c>
      <c r="G22" s="14">
        <f>[490]NºAsuntos!$E$35/Población!$O$22*1000</f>
        <v>6.1679849365195745</v>
      </c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2:17" ht="20.100000000000001" customHeight="1" thickBot="1" x14ac:dyDescent="0.25">
      <c r="B23" s="9" t="s">
        <v>5</v>
      </c>
      <c r="C23" s="14">
        <f>[491]NºAsuntos!$E$36/Población!$O$23*1000</f>
        <v>186.70930986943478</v>
      </c>
      <c r="D23" s="14">
        <f>[491]NºAsuntos!$E$17/Población!$O$23*1000</f>
        <v>50.947138647852299</v>
      </c>
      <c r="E23" s="14">
        <f>[491]NºAsuntos!$E$28/Población!$O$23*1000</f>
        <v>123.55378044494904</v>
      </c>
      <c r="F23" s="14">
        <f>[491]NºAsuntos!$E$31/Población!$O$23*1000</f>
        <v>2.0122050117589811</v>
      </c>
      <c r="G23" s="14">
        <f>[491]NºAsuntos!$E$35/Población!$O$23*1000</f>
        <v>10.196185764874436</v>
      </c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2:17" ht="20.100000000000001" customHeight="1" thickBot="1" x14ac:dyDescent="0.25">
      <c r="B24" s="9" t="s">
        <v>43</v>
      </c>
      <c r="C24" s="14">
        <f>[492]NºAsuntos!$E$36/Población!$O$24*1000</f>
        <v>171.81514345212474</v>
      </c>
      <c r="D24" s="14">
        <f>[492]NºAsuntos!$E$17/Población!$O$24*1000</f>
        <v>38.786835278104171</v>
      </c>
      <c r="E24" s="14">
        <f>[492]NºAsuntos!$E$28/Población!$O$24*1000</f>
        <v>122.14246658212826</v>
      </c>
      <c r="F24" s="14">
        <f>[492]NºAsuntos!$E$31/Población!$O$24*1000</f>
        <v>2.01762010573393</v>
      </c>
      <c r="G24" s="14">
        <f>[492]NºAsuntos!$E$35/Población!$O$24*1000</f>
        <v>8.8682214861583617</v>
      </c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17" ht="20.100000000000001" customHeight="1" thickBot="1" x14ac:dyDescent="0.25">
      <c r="B25" s="9" t="s">
        <v>44</v>
      </c>
      <c r="C25" s="14">
        <f>[493]NºAsuntos!$E$36/Población!$O$25*1000</f>
        <v>141.29594142052187</v>
      </c>
      <c r="D25" s="14">
        <f>[493]NºAsuntos!$E$17/Población!$O$25*1000</f>
        <v>31.716581390653037</v>
      </c>
      <c r="E25" s="14">
        <f>[493]NºAsuntos!$E$28/Población!$O$25*1000</f>
        <v>100.8453945237941</v>
      </c>
      <c r="F25" s="14">
        <f>[493]NºAsuntos!$E$31/Población!$O$25*1000</f>
        <v>1.727744103382721</v>
      </c>
      <c r="G25" s="14">
        <f>[493]NºAsuntos!$E$35/Población!$O$25*1000</f>
        <v>7.0062214026920051</v>
      </c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2:17" ht="20.100000000000001" customHeight="1" thickBot="1" x14ac:dyDescent="0.25">
      <c r="B26" s="9" t="s">
        <v>45</v>
      </c>
      <c r="C26" s="14">
        <f>[494]NºAsuntos!$E$36/Población!$O$26*1000</f>
        <v>173.60192018663494</v>
      </c>
      <c r="D26" s="14">
        <f>[494]NºAsuntos!$E$17/Población!$O$26*1000</f>
        <v>33.897375695083134</v>
      </c>
      <c r="E26" s="14">
        <f>[494]NºAsuntos!$E$28/Población!$O$26*1000</f>
        <v>127.05907863941916</v>
      </c>
      <c r="F26" s="14">
        <f>[494]NºAsuntos!$E$31/Población!$O$26*1000</f>
        <v>4.6571504769310916</v>
      </c>
      <c r="G26" s="14">
        <f>[494]NºAsuntos!$E$35/Población!$O$26*1000</f>
        <v>7.9883153752015774</v>
      </c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2:17" ht="20.100000000000001" customHeight="1" thickBot="1" x14ac:dyDescent="0.25">
      <c r="B27" s="9" t="s">
        <v>46</v>
      </c>
      <c r="C27" s="14">
        <f>[495]NºAsuntos!$E$36/Población!$O$27*1000</f>
        <v>149.41032068398056</v>
      </c>
      <c r="D27" s="14">
        <f>[495]NºAsuntos!$E$17/Población!$O$27*1000</f>
        <v>39.866943253195288</v>
      </c>
      <c r="E27" s="14">
        <f>[495]NºAsuntos!$E$28/Población!$O$27*1000</f>
        <v>96.244731632870923</v>
      </c>
      <c r="F27" s="14">
        <f>[495]NºAsuntos!$E$31/Población!$O$27*1000</f>
        <v>2.5664207436382025</v>
      </c>
      <c r="G27" s="14">
        <f>[495]NºAsuntos!$E$35/Población!$O$27*1000</f>
        <v>10.732225054276153</v>
      </c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2:17" ht="20.100000000000001" customHeight="1" thickBot="1" x14ac:dyDescent="0.25">
      <c r="B28" s="9" t="s">
        <v>47</v>
      </c>
      <c r="C28" s="14">
        <f>[496]NºAsuntos!$E$36/Población!$O$28*1000</f>
        <v>133.39845869966351</v>
      </c>
      <c r="D28" s="14">
        <f>[496]NºAsuntos!$E$17/Población!$O$28*1000</f>
        <v>26.743873260374048</v>
      </c>
      <c r="E28" s="14">
        <f>[496]NºAsuntos!$E$28/Población!$O$28*1000</f>
        <v>97.513438005842403</v>
      </c>
      <c r="F28" s="14">
        <f>[496]NºAsuntos!$E$31/Población!$O$28*1000</f>
        <v>2.3124224276660108</v>
      </c>
      <c r="G28" s="14">
        <f>[496]NºAsuntos!$E$35/Población!$O$28*1000</f>
        <v>6.828725005781056</v>
      </c>
    </row>
    <row r="29" spans="2:17" ht="20.100000000000001" customHeight="1" thickBot="1" x14ac:dyDescent="0.25">
      <c r="B29" s="9" t="s">
        <v>48</v>
      </c>
      <c r="C29" s="14">
        <f>[497]NºAsuntos!$E$36/Población!$O$10*1000</f>
        <v>201.17897936786105</v>
      </c>
      <c r="D29" s="14">
        <f>[497]NºAsuntos!$E$17/Población!$O$10*1000</f>
        <v>43.304242175761928</v>
      </c>
      <c r="E29" s="14">
        <f>[497]NºAsuntos!$E$28/Población!$O$10*1000</f>
        <v>137.58509226088543</v>
      </c>
      <c r="F29" s="14">
        <f>[497]NºAsuntos!$E$31/Población!$O$10*1000</f>
        <v>3.2474431697445296</v>
      </c>
      <c r="G29" s="14">
        <f>[497]NºAsuntos!$E$35/Población!$O$10*1000</f>
        <v>17.042201761469176</v>
      </c>
    </row>
    <row r="30" spans="2:17" ht="20.100000000000001" customHeight="1" thickBot="1" x14ac:dyDescent="0.25">
      <c r="B30" s="9" t="s">
        <v>49</v>
      </c>
      <c r="C30" s="14">
        <f>[498]NºAsuntos!$E$36/Población!$O$30*1000</f>
        <v>168.47637704298137</v>
      </c>
      <c r="D30" s="14">
        <f>[498]NºAsuntos!$E$17/Población!$O$30*1000</f>
        <v>37.147861434393512</v>
      </c>
      <c r="E30" s="14">
        <f>[498]NºAsuntos!$E$28/Población!$O$30*1000</f>
        <v>123.95618881559599</v>
      </c>
      <c r="F30" s="14">
        <f>[498]NºAsuntos!$E$31/Población!$O$30*1000</f>
        <v>1.951073484307382</v>
      </c>
      <c r="G30" s="14">
        <f>[498]NºAsuntos!$E$35/Población!$O$30*1000</f>
        <v>5.4212533086845092</v>
      </c>
    </row>
    <row r="31" spans="2:17" ht="20.100000000000001" customHeight="1" thickBot="1" x14ac:dyDescent="0.25">
      <c r="B31" s="9" t="s">
        <v>50</v>
      </c>
      <c r="C31" s="14">
        <f>[499]NºAsuntos!$E$36/Población!$O$31*1000</f>
        <v>241.40586673396285</v>
      </c>
      <c r="D31" s="14">
        <f>[499]NºAsuntos!$E$17/Población!$O$31*1000</f>
        <v>39.510768296967647</v>
      </c>
      <c r="E31" s="14">
        <f>[499]NºAsuntos!$E$28/Población!$O$31*1000</f>
        <v>188.93441775923264</v>
      </c>
      <c r="F31" s="14">
        <f>[499]NºAsuntos!$E$31/Población!$O$31*1000</f>
        <v>2.9206401695167838</v>
      </c>
      <c r="G31" s="14">
        <f>[499]NºAsuntos!$E$35/Población!$O$31*1000</f>
        <v>10.040040508245777</v>
      </c>
    </row>
    <row r="32" spans="2:17" ht="20.100000000000001" customHeight="1" thickBot="1" x14ac:dyDescent="0.25">
      <c r="B32" s="9" t="s">
        <v>51</v>
      </c>
      <c r="C32" s="14">
        <f>[500]NºAsuntos!$E$36/Población!$O$32*1000</f>
        <v>152.8035914528389</v>
      </c>
      <c r="D32" s="14">
        <f>[500]NºAsuntos!$E$17/Población!$O$32*1000</f>
        <v>35.018217233231027</v>
      </c>
      <c r="E32" s="14">
        <f>[500]NºAsuntos!$E$28/Población!$O$32*1000</f>
        <v>106.14108946426978</v>
      </c>
      <c r="F32" s="14">
        <f>[500]NºAsuntos!$E$31/Población!$O$32*1000</f>
        <v>2.4289644308036147</v>
      </c>
      <c r="G32" s="14">
        <f>[500]NºAsuntos!$E$35/Población!$O$32*1000</f>
        <v>9.2153203245344795</v>
      </c>
    </row>
    <row r="33" spans="2:7" ht="20.100000000000001" customHeight="1" thickBot="1" x14ac:dyDescent="0.25">
      <c r="B33" s="9" t="s">
        <v>52</v>
      </c>
      <c r="C33" s="14">
        <f>[501]NºAsuntos!$E$36/Población!$O$33*1000</f>
        <v>180.00338027303386</v>
      </c>
      <c r="D33" s="14">
        <f>[501]NºAsuntos!$E$17/Población!$O$33*1000</f>
        <v>33.827698264537098</v>
      </c>
      <c r="E33" s="14">
        <f>[501]NºAsuntos!$E$28/Población!$O$33*1000</f>
        <v>134.53294613842218</v>
      </c>
      <c r="F33" s="14">
        <f>[501]NºAsuntos!$E$31/Población!$O$33*1000</f>
        <v>3.8585048437776086</v>
      </c>
      <c r="G33" s="14">
        <f>[501]NºAsuntos!$E$35/Población!$O$33*1000</f>
        <v>7.7842310262969878</v>
      </c>
    </row>
    <row r="34" spans="2:7" ht="20.100000000000001" customHeight="1" thickBot="1" x14ac:dyDescent="0.25">
      <c r="B34" s="9" t="s">
        <v>53</v>
      </c>
      <c r="C34" s="14">
        <f>[502]NºAsuntos!$E$36/Población!$O$34*1000</f>
        <v>135.40465428645911</v>
      </c>
      <c r="D34" s="14">
        <f>[502]NºAsuntos!$E$17/Población!$O$34*1000</f>
        <v>32.368808239333006</v>
      </c>
      <c r="E34" s="14">
        <f>[502]NºAsuntos!$E$28/Población!$O$34*1000</f>
        <v>96.585059802323173</v>
      </c>
      <c r="F34" s="14">
        <f>[502]NºAsuntos!$E$31/Población!$O$34*1000</f>
        <v>1.6259516014297768</v>
      </c>
      <c r="G34" s="14">
        <f>[502]NºAsuntos!$E$35/Población!$O$34*1000</f>
        <v>4.8248346433731433</v>
      </c>
    </row>
    <row r="35" spans="2:7" ht="20.100000000000001" customHeight="1" thickBot="1" x14ac:dyDescent="0.25">
      <c r="B35" s="9" t="s">
        <v>54</v>
      </c>
      <c r="C35" s="14">
        <f>[503]NºAsuntos!$E$36/Población!$O$35*1000</f>
        <v>146.35833699294349</v>
      </c>
      <c r="D35" s="14">
        <f>[503]NºAsuntos!$E$17/Población!$O$35*1000</f>
        <v>30.324131168448346</v>
      </c>
      <c r="E35" s="14">
        <f>[503]NºAsuntos!$E$28/Población!$O$35*1000</f>
        <v>106.05249384884708</v>
      </c>
      <c r="F35" s="14">
        <f>[503]NºAsuntos!$E$31/Población!$O$35*1000</f>
        <v>4.7329286706892297</v>
      </c>
      <c r="G35" s="14">
        <f>[503]NºAsuntos!$E$35/Población!$O$35*1000</f>
        <v>5.2487833049588222</v>
      </c>
    </row>
    <row r="36" spans="2:7" ht="20.100000000000001" customHeight="1" thickBot="1" x14ac:dyDescent="0.25">
      <c r="B36" s="9" t="s">
        <v>55</v>
      </c>
      <c r="C36" s="14">
        <f>[504]NºAsuntos!$E$36/Población!$O$36*1000</f>
        <v>153.7512863653441</v>
      </c>
      <c r="D36" s="14">
        <f>[504]NºAsuntos!$E$17/Población!$O$36*1000</f>
        <v>42.480684101341083</v>
      </c>
      <c r="E36" s="14">
        <f>[504]NºAsuntos!$E$28/Población!$O$36*1000</f>
        <v>95.895473627468604</v>
      </c>
      <c r="F36" s="14">
        <f>[504]NºAsuntos!$E$31/Población!$O$36*1000</f>
        <v>2.1459840899067286</v>
      </c>
      <c r="G36" s="14">
        <f>[504]NºAsuntos!$E$35/Población!$O$36*1000</f>
        <v>13.22914454662768</v>
      </c>
    </row>
    <row r="37" spans="2:7" ht="20.100000000000001" customHeight="1" thickBot="1" x14ac:dyDescent="0.25">
      <c r="B37" s="9" t="s">
        <v>56</v>
      </c>
      <c r="C37" s="14">
        <f>[505]NºAsuntos!$E$36/Población!$O$37*1000</f>
        <v>139.17648526359955</v>
      </c>
      <c r="D37" s="14">
        <f>[505]NºAsuntos!$E$17/Población!$O$37*1000</f>
        <v>34.655205651883016</v>
      </c>
      <c r="E37" s="14">
        <f>[505]NºAsuntos!$E$28/Población!$O$37*1000</f>
        <v>97.968996291802284</v>
      </c>
      <c r="F37" s="14">
        <f>[505]NºAsuntos!$E$31/Población!$O$37*1000</f>
        <v>1.6692559790435799</v>
      </c>
      <c r="G37" s="14">
        <f>[505]NºAsuntos!$E$35/Población!$O$37*1000</f>
        <v>4.8830273408706892</v>
      </c>
    </row>
    <row r="38" spans="2:7" ht="20.100000000000001" customHeight="1" thickBot="1" x14ac:dyDescent="0.25">
      <c r="B38" s="9" t="s">
        <v>57</v>
      </c>
      <c r="C38" s="14">
        <f>[506]NºAsuntos!$E$36/Población!$O$38*1000</f>
        <v>138.42285516105261</v>
      </c>
      <c r="D38" s="14">
        <f>[506]NºAsuntos!$E$17/Población!$O$38*1000</f>
        <v>40.484964090114303</v>
      </c>
      <c r="E38" s="14">
        <f>[506]NºAsuntos!$E$28/Población!$O$38*1000</f>
        <v>85.926503952255032</v>
      </c>
      <c r="F38" s="14">
        <f>[506]NºAsuntos!$E$31/Población!$O$38*1000</f>
        <v>1.6589355645149637</v>
      </c>
      <c r="G38" s="14">
        <f>[506]NºAsuntos!$E$35/Población!$O$38*1000</f>
        <v>10.352451554168294</v>
      </c>
    </row>
    <row r="39" spans="2:7" ht="20.100000000000001" customHeight="1" thickBot="1" x14ac:dyDescent="0.25">
      <c r="B39" s="9" t="s">
        <v>58</v>
      </c>
      <c r="C39" s="14">
        <f>[507]NºAsuntos!$E$36/Población!$O$39*1000</f>
        <v>196.75682632620391</v>
      </c>
      <c r="D39" s="14">
        <f>[507]NºAsuntos!$E$17/Población!$O$39*1000</f>
        <v>38.123478670246755</v>
      </c>
      <c r="E39" s="14">
        <f>[507]NºAsuntos!$E$28/Población!$O$39*1000</f>
        <v>146.01486463580994</v>
      </c>
      <c r="F39" s="14">
        <f>[507]NºAsuntos!$E$31/Población!$O$39*1000</f>
        <v>2.9413978891090227</v>
      </c>
      <c r="G39" s="14">
        <f>[507]NºAsuntos!$E$35/Población!$O$39*1000</f>
        <v>9.6770851310381527</v>
      </c>
    </row>
    <row r="40" spans="2:7" ht="20.100000000000001" customHeight="1" thickBot="1" x14ac:dyDescent="0.25">
      <c r="B40" s="9" t="s">
        <v>59</v>
      </c>
      <c r="C40" s="14">
        <f>[508]NºAsuntos!$E$36/Población!$O$40*1000</f>
        <v>267.12115373330533</v>
      </c>
      <c r="D40" s="14">
        <f>[508]NºAsuntos!$E$17/Población!$O$40*1000</f>
        <v>43.497303991109497</v>
      </c>
      <c r="E40" s="14">
        <f>[508]NºAsuntos!$E$28/Población!$O$40*1000</f>
        <v>211.03521538730513</v>
      </c>
      <c r="F40" s="14">
        <f>[508]NºAsuntos!$E$31/Población!$O$40*1000</f>
        <v>3.4918351432759489</v>
      </c>
      <c r="G40" s="14">
        <f>[508]NºAsuntos!$E$35/Población!$O$40*1000</f>
        <v>9.0967992116147691</v>
      </c>
    </row>
    <row r="41" spans="2:7" ht="20.100000000000001" customHeight="1" thickBot="1" x14ac:dyDescent="0.25">
      <c r="B41" s="9" t="s">
        <v>60</v>
      </c>
      <c r="C41" s="14">
        <f>[509]NºAsuntos!$E$36/Población!$O$41*1000</f>
        <v>183.54619988872653</v>
      </c>
      <c r="D41" s="14">
        <f>[509]NºAsuntos!$E$17/Población!$O$41*1000</f>
        <v>41.904855069362497</v>
      </c>
      <c r="E41" s="14">
        <f>[509]NºAsuntos!$E$28/Población!$O$41*1000</f>
        <v>131.42293497023536</v>
      </c>
      <c r="F41" s="14">
        <f>[509]NºAsuntos!$E$31/Población!$O$41*1000</f>
        <v>2.6486890042383098</v>
      </c>
      <c r="G41" s="14">
        <f>[509]NºAsuntos!$E$35/Población!$O$41*1000</f>
        <v>7.5697208448903535</v>
      </c>
    </row>
    <row r="42" spans="2:7" ht="20.100000000000001" customHeight="1" thickBot="1" x14ac:dyDescent="0.25">
      <c r="B42" s="9" t="s">
        <v>61</v>
      </c>
      <c r="C42" s="14">
        <f>[510]NºAsuntos!$E$36/Población!$O$42*1000</f>
        <v>149.94949393073765</v>
      </c>
      <c r="D42" s="14">
        <f>[510]NºAsuntos!$E$17/Población!$O$42*1000</f>
        <v>27.938933429742256</v>
      </c>
      <c r="E42" s="14">
        <f>[510]NºAsuntos!$E$28/Población!$O$42*1000</f>
        <v>111.68125472282175</v>
      </c>
      <c r="F42" s="14">
        <f>[510]NºAsuntos!$E$31/Población!$O$42*1000</f>
        <v>2.0155878332353212</v>
      </c>
      <c r="G42" s="14">
        <f>[510]NºAsuntos!$E$35/Población!$O$42*1000</f>
        <v>8.3137179449382987</v>
      </c>
    </row>
    <row r="43" spans="2:7" ht="20.100000000000001" customHeight="1" thickBot="1" x14ac:dyDescent="0.25">
      <c r="B43" s="9" t="s">
        <v>62</v>
      </c>
      <c r="C43" s="14">
        <f>[511]NºAsuntos!$E$36/Población!$O$43*1000</f>
        <v>145.23267344914976</v>
      </c>
      <c r="D43" s="14">
        <f>[511]NºAsuntos!$E$17/Población!$O$43*1000</f>
        <v>40.08582167211469</v>
      </c>
      <c r="E43" s="14">
        <f>[511]NºAsuntos!$E$28/Población!$O$43*1000</f>
        <v>92.864313610264318</v>
      </c>
      <c r="F43" s="14">
        <f>[511]NºAsuntos!$E$31/Población!$O$43*1000</f>
        <v>1.8486551339968902</v>
      </c>
      <c r="G43" s="14">
        <f>[511]NºAsuntos!$E$35/Población!$O$43*1000</f>
        <v>10.433883032773839</v>
      </c>
    </row>
    <row r="44" spans="2:7" ht="20.100000000000001" customHeight="1" thickBot="1" x14ac:dyDescent="0.25">
      <c r="B44" s="9" t="s">
        <v>63</v>
      </c>
      <c r="C44" s="14">
        <f>[512]NºAsuntos!$E$36/Población!$O$44*1000</f>
        <v>159.48625373620195</v>
      </c>
      <c r="D44" s="14">
        <f>[512]NºAsuntos!$E$17/Población!$O$44*1000</f>
        <v>39.839010387381251</v>
      </c>
      <c r="E44" s="14">
        <f>[512]NºAsuntos!$E$28/Población!$O$44*1000</f>
        <v>106.64969962416028</v>
      </c>
      <c r="F44" s="14">
        <f>[512]NºAsuntos!$E$31/Población!$O$44*1000</f>
        <v>3.8471782427273538</v>
      </c>
      <c r="G44" s="14">
        <f>[512]NºAsuntos!$E$35/Población!$O$44*1000</f>
        <v>9.1503654819330578</v>
      </c>
    </row>
    <row r="45" spans="2:7" ht="20.100000000000001" customHeight="1" thickBot="1" x14ac:dyDescent="0.25">
      <c r="B45" s="9" t="s">
        <v>64</v>
      </c>
      <c r="C45" s="14">
        <f>[513]NºAsuntos!$E$36/Población!$O$45*1000</f>
        <v>200.13135842732254</v>
      </c>
      <c r="D45" s="14">
        <f>[513]NºAsuntos!$E$17/Población!$O$45*1000</f>
        <v>40.613307967568055</v>
      </c>
      <c r="E45" s="14">
        <f>[513]NºAsuntos!$E$28/Población!$O$45*1000</f>
        <v>143.93441137835757</v>
      </c>
      <c r="F45" s="14">
        <f>[513]NºAsuntos!$E$31/Población!$O$45*1000</f>
        <v>2.7494677718892966</v>
      </c>
      <c r="G45" s="14">
        <f>[513]NºAsuntos!$E$35/Población!$O$45*1000</f>
        <v>12.834171309507633</v>
      </c>
    </row>
    <row r="46" spans="2:7" ht="20.100000000000001" customHeight="1" thickBot="1" x14ac:dyDescent="0.25">
      <c r="B46" s="9" t="s">
        <v>65</v>
      </c>
      <c r="C46" s="14">
        <f>[514]NºAsuntos!$E$36/Población!$O$46*1000</f>
        <v>192.97314276739439</v>
      </c>
      <c r="D46" s="14">
        <f>[514]NºAsuntos!$E$17/Población!$O$46*1000</f>
        <v>47.087587037327893</v>
      </c>
      <c r="E46" s="14">
        <f>[514]NºAsuntos!$E$28/Población!$O$46*1000</f>
        <v>133.41919271242344</v>
      </c>
      <c r="F46" s="14">
        <f>[514]NºAsuntos!$E$31/Población!$O$46*1000</f>
        <v>1.8271294696612743</v>
      </c>
      <c r="G46" s="14">
        <f>[514]NºAsuntos!$E$35/Población!$O$46*1000</f>
        <v>10.639233547981782</v>
      </c>
    </row>
    <row r="47" spans="2:7" ht="20.100000000000001" customHeight="1" thickBot="1" x14ac:dyDescent="0.25">
      <c r="B47" s="9" t="s">
        <v>30</v>
      </c>
      <c r="C47" s="14">
        <f>[515]NºAsuntos!$E$36/Población!$O$47*1000</f>
        <v>115.49031602940126</v>
      </c>
      <c r="D47" s="14">
        <f>[515]NºAsuntos!$E$17/Población!$O$47*1000</f>
        <v>34.553003319597423</v>
      </c>
      <c r="E47" s="14">
        <f>[515]NºAsuntos!$E$28/Población!$O$47*1000</f>
        <v>67.686870976657232</v>
      </c>
      <c r="F47" s="14">
        <f>[515]NºAsuntos!$E$31/Población!$O$47*1000</f>
        <v>2.9096939076537063</v>
      </c>
      <c r="G47" s="14">
        <f>[515]NºAsuntos!$E$35/Población!$O$47*1000</f>
        <v>10.340747825492894</v>
      </c>
    </row>
    <row r="48" spans="2:7" ht="20.100000000000001" customHeight="1" thickBot="1" x14ac:dyDescent="0.25">
      <c r="B48" s="9" t="s">
        <v>66</v>
      </c>
      <c r="C48" s="14">
        <f>[516]NºAsuntos!$E$36/Población!$O$48*1000</f>
        <v>142.49250465926585</v>
      </c>
      <c r="D48" s="14">
        <f>[516]NºAsuntos!$E$17/Población!$O$48*1000</f>
        <v>35.456723812610697</v>
      </c>
      <c r="E48" s="14">
        <f>[516]NºAsuntos!$E$28/Población!$O$48*1000</f>
        <v>98.087675228911763</v>
      </c>
      <c r="F48" s="14">
        <f>[516]NºAsuntos!$E$31/Población!$O$48*1000</f>
        <v>2.2977994374153519</v>
      </c>
      <c r="G48" s="14">
        <f>[516]NºAsuntos!$E$35/Población!$O$48*1000</f>
        <v>6.6503061803280588</v>
      </c>
    </row>
    <row r="49" spans="2:7" ht="20.100000000000001" customHeight="1" thickBot="1" x14ac:dyDescent="0.25">
      <c r="B49" s="9" t="s">
        <v>67</v>
      </c>
      <c r="C49" s="14">
        <f>[517]NºAsuntos!$E$36/Población!$O$49*1000</f>
        <v>174.39194189365892</v>
      </c>
      <c r="D49" s="14">
        <f>[517]NºAsuntos!$E$17/Población!$O$49*1000</f>
        <v>35.162574187375412</v>
      </c>
      <c r="E49" s="14">
        <f>[517]NºAsuntos!$E$28/Población!$O$49*1000</f>
        <v>128.10039918055162</v>
      </c>
      <c r="F49" s="14">
        <f>[517]NºAsuntos!$E$31/Población!$O$49*1000</f>
        <v>2.261464739379738</v>
      </c>
      <c r="G49" s="14">
        <f>[517]NºAsuntos!$E$35/Población!$O$49*1000</f>
        <v>8.8675037863521844</v>
      </c>
    </row>
    <row r="50" spans="2:7" ht="20.100000000000001" customHeight="1" thickBot="1" x14ac:dyDescent="0.25">
      <c r="B50" s="9" t="s">
        <v>68</v>
      </c>
      <c r="C50" s="14">
        <f>[518]NºAsuntos!$E$36/Población!$O$50*1000</f>
        <v>134.90247492300654</v>
      </c>
      <c r="D50" s="14">
        <f>[518]NºAsuntos!$E$17/Población!$O$50*1000</f>
        <v>31.496209075954532</v>
      </c>
      <c r="E50" s="14">
        <f>[518]NºAsuntos!$E$28/Población!$O$50*1000</f>
        <v>93.523889624123385</v>
      </c>
      <c r="F50" s="14">
        <f>[518]NºAsuntos!$E$31/Población!$O$50*1000</f>
        <v>2.5046072404794004</v>
      </c>
      <c r="G50" s="14">
        <f>[518]NºAsuntos!$E$35/Población!$O$50*1000</f>
        <v>7.3777689824491963</v>
      </c>
    </row>
    <row r="51" spans="2:7" ht="20.100000000000001" customHeight="1" thickBot="1" x14ac:dyDescent="0.25">
      <c r="B51" s="9" t="s">
        <v>69</v>
      </c>
      <c r="C51" s="14">
        <f>[519]NºAsuntos!$E$36/Población!$O$51*1000</f>
        <v>216.67374643115508</v>
      </c>
      <c r="D51" s="14">
        <f>[519]NºAsuntos!$E$17/Población!$O$51*1000</f>
        <v>35.573885709431018</v>
      </c>
      <c r="E51" s="14">
        <f>[519]NºAsuntos!$E$28/Población!$O$51*1000</f>
        <v>167.97680926599577</v>
      </c>
      <c r="F51" s="14">
        <f>[519]NºAsuntos!$E$31/Población!$O$51*1000</f>
        <v>3.7309071624046486</v>
      </c>
      <c r="G51" s="14">
        <f>[519]NºAsuntos!$E$35/Población!$O$51*1000</f>
        <v>9.3921442933236534</v>
      </c>
    </row>
    <row r="52" spans="2:7" ht="20.100000000000001" customHeight="1" thickBot="1" x14ac:dyDescent="0.25">
      <c r="B52" s="9" t="s">
        <v>70</v>
      </c>
      <c r="C52" s="14">
        <f>[520]NºAsuntos!$E$36/Población!$O$52*1000</f>
        <v>126.25012059041066</v>
      </c>
      <c r="D52" s="14">
        <f>[520]NºAsuntos!$E$17/Población!$O$52*1000</f>
        <v>31.964498183104478</v>
      </c>
      <c r="E52" s="14">
        <f>[520]NºAsuntos!$E$28/Población!$O$52*1000</f>
        <v>82.462402589746063</v>
      </c>
      <c r="F52" s="14">
        <f>[520]NºAsuntos!$E$31/Población!$O$52*1000</f>
        <v>5.7240248255458726</v>
      </c>
      <c r="G52" s="14">
        <f>[520]NºAsuntos!$E$35/Población!$O$52*1000</f>
        <v>6.099194992014235</v>
      </c>
    </row>
    <row r="53" spans="2:7" ht="20.100000000000001" customHeight="1" thickBot="1" x14ac:dyDescent="0.25">
      <c r="B53" s="9" t="s">
        <v>71</v>
      </c>
      <c r="C53" s="14">
        <f>[521]NºAsuntos!$E$36/Población!$O$53*1000</f>
        <v>191.78007795817709</v>
      </c>
      <c r="D53" s="14">
        <f>[521]NºAsuntos!$E$17/Población!$O$53*1000</f>
        <v>40.346689246066916</v>
      </c>
      <c r="E53" s="14">
        <f>[521]NºAsuntos!$E$28/Población!$O$53*1000</f>
        <v>143.76593785563171</v>
      </c>
      <c r="F53" s="14">
        <f>[521]NºAsuntos!$E$31/Población!$O$53*1000</f>
        <v>1.5404022325958</v>
      </c>
      <c r="G53" s="14">
        <f>[521]NºAsuntos!$E$35/Población!$O$53*1000</f>
        <v>6.1270486238826525</v>
      </c>
    </row>
    <row r="54" spans="2:7" ht="20.100000000000001" customHeight="1" thickBot="1" x14ac:dyDescent="0.25">
      <c r="B54" s="9" t="s">
        <v>72</v>
      </c>
      <c r="C54" s="14">
        <f>[522]NºAsuntos!$E$36/Población!$O$54*1000</f>
        <v>91.90268878839241</v>
      </c>
      <c r="D54" s="14">
        <f>[522]NºAsuntos!$E$17/Población!$O$54*1000</f>
        <v>20.987037831526976</v>
      </c>
      <c r="E54" s="14">
        <f>[522]NºAsuntos!$E$28/Población!$O$54*1000</f>
        <v>65.141402277346799</v>
      </c>
      <c r="F54" s="14">
        <f>[522]NºAsuntos!$E$31/Población!$O$54*1000</f>
        <v>1.4347706828523805</v>
      </c>
      <c r="G54" s="14">
        <f>[522]NºAsuntos!$E$35/Población!$O$54*1000</f>
        <v>4.3394779966662682</v>
      </c>
    </row>
    <row r="55" spans="2:7" ht="20.100000000000001" customHeight="1" thickBot="1" x14ac:dyDescent="0.25">
      <c r="B55" s="9" t="s">
        <v>73</v>
      </c>
      <c r="C55" s="14">
        <f>[523]NºAsuntos!$E$36/Población!$O$55*1000</f>
        <v>147.04271050541684</v>
      </c>
      <c r="D55" s="14">
        <f>[523]NºAsuntos!$E$17/Población!$O$55*1000</f>
        <v>30.200719981540388</v>
      </c>
      <c r="E55" s="14">
        <f>[523]NºAsuntos!$E$28/Población!$O$55*1000</f>
        <v>108.54932071737682</v>
      </c>
      <c r="F55" s="14">
        <f>[523]NºAsuntos!$E$31/Población!$O$55*1000</f>
        <v>1.8318051774685131</v>
      </c>
      <c r="G55" s="14">
        <f>[523]NºAsuntos!$E$35/Población!$O$55*1000</f>
        <v>6.4608646290311391</v>
      </c>
    </row>
    <row r="56" spans="2:7" ht="20.100000000000001" customHeight="1" thickBot="1" x14ac:dyDescent="0.25">
      <c r="B56" s="9" t="s">
        <v>74</v>
      </c>
      <c r="C56" s="14">
        <f>[524]NºAsuntos!$E$36/Población!$O$56*1000</f>
        <v>188.08528744105726</v>
      </c>
      <c r="D56" s="14">
        <f>[524]NºAsuntos!$E$17/Población!$O$56*1000</f>
        <v>42.817499807128378</v>
      </c>
      <c r="E56" s="14">
        <f>[524]NºAsuntos!$E$28/Población!$O$56*1000</f>
        <v>133.65769534388426</v>
      </c>
      <c r="F56" s="14">
        <f>[524]NºAsuntos!$E$31/Población!$O$56*1000</f>
        <v>2.2061396297020734</v>
      </c>
      <c r="G56" s="14">
        <f>[524]NºAsuntos!$E$35/Población!$O$56*1000</f>
        <v>9.4039526603425543</v>
      </c>
    </row>
    <row r="57" spans="2:7" ht="20.100000000000001" customHeight="1" thickBot="1" x14ac:dyDescent="0.25">
      <c r="B57" s="9" t="s">
        <v>75</v>
      </c>
      <c r="C57" s="14">
        <f>[525]NºAsuntos!$E$36/Población!$O$57*1000</f>
        <v>155.67817180302245</v>
      </c>
      <c r="D57" s="14">
        <f>[525]NºAsuntos!$E$17/Población!$O$57*1000</f>
        <v>40.972488370869684</v>
      </c>
      <c r="E57" s="14">
        <f>[525]NºAsuntos!$E$28/Población!$O$57*1000</f>
        <v>101.82909875179416</v>
      </c>
      <c r="F57" s="14">
        <f>[525]NºAsuntos!$E$31/Población!$O$57*1000</f>
        <v>3.0002780470575861</v>
      </c>
      <c r="G57" s="14">
        <f>[525]NºAsuntos!$E$35/Población!$O$57*1000</f>
        <v>9.8763066333010183</v>
      </c>
    </row>
    <row r="58" spans="2:7" ht="20.100000000000001" customHeight="1" thickBot="1" x14ac:dyDescent="0.25">
      <c r="B58" s="9" t="s">
        <v>76</v>
      </c>
      <c r="C58" s="14">
        <f>[526]NºAsuntos!$E$36/Población!$O$58*1000</f>
        <v>135.94837201890903</v>
      </c>
      <c r="D58" s="14">
        <f>[526]NºAsuntos!$E$17/Población!$O$58*1000</f>
        <v>40.043554469644661</v>
      </c>
      <c r="E58" s="14">
        <f>[526]NºAsuntos!$E$28/Población!$O$58*1000</f>
        <v>86.859297816964997</v>
      </c>
      <c r="F58" s="14">
        <f>[526]NºAsuntos!$E$31/Población!$O$58*1000</f>
        <v>1.9546396133212938</v>
      </c>
      <c r="G58" s="14">
        <f>[526]NºAsuntos!$E$35/Población!$O$58*1000</f>
        <v>7.0908801189780633</v>
      </c>
    </row>
    <row r="59" spans="2:7" ht="20.100000000000001" customHeight="1" thickBot="1" x14ac:dyDescent="0.25">
      <c r="B59" s="9" t="s">
        <v>77</v>
      </c>
      <c r="C59" s="14">
        <f>[527]NºAsuntos!$E$36/Población!$O$59*1000</f>
        <v>144.95962756402264</v>
      </c>
      <c r="D59" s="14">
        <f>[527]NºAsuntos!$E$17/Población!$O$59*1000</f>
        <v>32.843605091974766</v>
      </c>
      <c r="E59" s="14">
        <f>[527]NºAsuntos!$E$28/Población!$O$59*1000</f>
        <v>101.36332331260384</v>
      </c>
      <c r="F59" s="14">
        <f>[527]NºAsuntos!$E$31/Población!$O$59*1000</f>
        <v>1.59098665696611</v>
      </c>
      <c r="G59" s="14">
        <f>[527]NºAsuntos!$E$35/Población!$O$59*1000</f>
        <v>9.1617125024779327</v>
      </c>
    </row>
    <row r="60" spans="2:7" ht="20.100000000000001" customHeight="1" thickBot="1" x14ac:dyDescent="0.25">
      <c r="B60" s="9" t="s">
        <v>78</v>
      </c>
      <c r="C60" s="14">
        <f>[528]NºAsuntos!$E$61/Población!$O$60*1000</f>
        <v>217.28439059158944</v>
      </c>
      <c r="D60" s="14">
        <f>[528]NºAsuntos!$E$21/Población!$O$60*1000</f>
        <v>27.631266334046092</v>
      </c>
      <c r="E60" s="14">
        <f>[528]NºAsuntos!$E$40/Población!$O$60*1000</f>
        <v>174.62580185317179</v>
      </c>
      <c r="F60" s="14">
        <f>[528]NºAsuntos!$E$47/Población!$O$60*1000</f>
        <v>8.2442385364694708</v>
      </c>
      <c r="G60" s="14">
        <f>[528]NºAsuntos!$E$54/Población!$O$60*1000</f>
        <v>6.7830838679021142</v>
      </c>
    </row>
    <row r="61" spans="2:7" ht="20.100000000000001" customHeight="1" thickBot="1" x14ac:dyDescent="0.25">
      <c r="B61" s="9" t="s">
        <v>79</v>
      </c>
      <c r="C61" s="14">
        <f>[529]NºAsuntos!$E$61/Población!$O$61*1000</f>
        <v>265.07247935563282</v>
      </c>
      <c r="D61" s="14">
        <f>[529]NºAsuntos!$E$21/Población!$O$61*1000</f>
        <v>28.310567764911148</v>
      </c>
      <c r="E61" s="14">
        <f>[529]NºAsuntos!$E$40/Población!$O$61*1000</f>
        <v>207.81797105605946</v>
      </c>
      <c r="F61" s="14">
        <f>[529]NºAsuntos!$E$47/Población!$O$61*1000</f>
        <v>15.953823539956263</v>
      </c>
      <c r="G61" s="14">
        <f>[529]NºAsuntos!$E$54/Población!$O$61*1000</f>
        <v>12.990116994705959</v>
      </c>
    </row>
    <row r="62" spans="2:7" ht="20.100000000000001" customHeight="1" thickBot="1" x14ac:dyDescent="0.25">
      <c r="B62" s="12" t="s">
        <v>6</v>
      </c>
      <c r="C62" s="15">
        <f>[530]NºAsuntos!$E$60/Población!$S$62*1000</f>
        <v>187.86634032558356</v>
      </c>
      <c r="D62" s="15">
        <f>[530]NºAsuntos!$E$20/Población!$S$62*1000</f>
        <v>38.299749730160514</v>
      </c>
      <c r="E62" s="15">
        <f>[530]NºAsuntos!$E$39/Población!$S$62*1000</f>
        <v>135.37316694026379</v>
      </c>
      <c r="F62" s="15">
        <f>[530]NºAsuntos!$E$46/Población!$S$62*1000</f>
        <v>4.1085514401616834</v>
      </c>
      <c r="G62" s="15">
        <f>[530]NºAsuntos!$E$53/Población!$S$62*1000</f>
        <v>10.077464351428016</v>
      </c>
    </row>
  </sheetData>
  <pageMargins left="0.75" right="0.75" top="1" bottom="1" header="0" footer="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9"/>
  <dimension ref="B8:Q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1.42578125" style="1"/>
  </cols>
  <sheetData>
    <row r="8" spans="2:17" ht="13.5" thickBot="1" x14ac:dyDescent="0.25"/>
    <row r="9" spans="2:1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17" ht="20.100000000000001" customHeight="1" thickBot="1" x14ac:dyDescent="0.25">
      <c r="B10" s="9" t="s">
        <v>31</v>
      </c>
      <c r="C10" s="14">
        <f>[531]NºAsuntos!$E$36/Población!$N$10*1000</f>
        <v>143.00573184687605</v>
      </c>
      <c r="D10" s="14">
        <f>[531]NºAsuntos!$E$17/Población!$N$10*1000</f>
        <v>38.814706692781449</v>
      </c>
      <c r="E10" s="14">
        <f>[531]NºAsuntos!$E$28/Población!$N$10*1000</f>
        <v>91.811328155060238</v>
      </c>
      <c r="F10" s="14">
        <f>[531]NºAsuntos!$E$31/Población!$N$10*1000</f>
        <v>2.7207034110570776</v>
      </c>
      <c r="G10" s="14">
        <f>[531]NºAsuntos!$E$35/Población!$N$10*1000</f>
        <v>9.658993587977271</v>
      </c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17" ht="20.100000000000001" customHeight="1" thickBot="1" x14ac:dyDescent="0.25">
      <c r="B11" s="9" t="s">
        <v>32</v>
      </c>
      <c r="C11" s="14">
        <f>[532]NºAsuntos!$E$36/Población!$N$11*1000</f>
        <v>190.05458071618543</v>
      </c>
      <c r="D11" s="14">
        <f>[532]NºAsuntos!$E$17/Población!$N$11*1000</f>
        <v>42.727801184211202</v>
      </c>
      <c r="E11" s="14">
        <f>[532]NºAsuntos!$E$28/Población!$N$11*1000</f>
        <v>138.52081629293536</v>
      </c>
      <c r="F11" s="14">
        <f>[532]NºAsuntos!$E$31/Población!$N$11*1000</f>
        <v>1.9301305101573634</v>
      </c>
      <c r="G11" s="14">
        <f>[532]NºAsuntos!$E$35/Población!$N$11*1000</f>
        <v>6.8758327288814813</v>
      </c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17" ht="20.100000000000001" customHeight="1" thickBot="1" x14ac:dyDescent="0.25">
      <c r="B12" s="9" t="s">
        <v>33</v>
      </c>
      <c r="C12" s="14">
        <f>[533]NºAsuntos!$E$36/Población!$N$12*1000</f>
        <v>226.14555983294971</v>
      </c>
      <c r="D12" s="14">
        <f>[533]NºAsuntos!$E$17/Población!$N$12*1000</f>
        <v>47.290686561992793</v>
      </c>
      <c r="E12" s="14">
        <f>[533]NºAsuntos!$E$28/Población!$N$12*1000</f>
        <v>167.42093013678982</v>
      </c>
      <c r="F12" s="14">
        <f>[533]NºAsuntos!$E$31/Población!$N$12*1000</f>
        <v>3.4264909069479805</v>
      </c>
      <c r="G12" s="14">
        <f>[533]NºAsuntos!$E$35/Población!$N$12*1000</f>
        <v>8.0074522272190887</v>
      </c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17" ht="20.100000000000001" customHeight="1" thickBot="1" x14ac:dyDescent="0.25">
      <c r="B13" s="9" t="s">
        <v>34</v>
      </c>
      <c r="C13" s="14">
        <f>[534]NºAsuntos!$E$36/Población!$N$13*1000</f>
        <v>147.48711080522204</v>
      </c>
      <c r="D13" s="14">
        <f>[534]NºAsuntos!$E$17/Población!$N$13*1000</f>
        <v>40.402161478436376</v>
      </c>
      <c r="E13" s="14">
        <f>[534]NºAsuntos!$E$28/Población!$N$13*1000</f>
        <v>92.941712627535608</v>
      </c>
      <c r="F13" s="14">
        <f>[534]NºAsuntos!$E$31/Población!$N$13*1000</f>
        <v>3.3234436084164969</v>
      </c>
      <c r="G13" s="14">
        <f>[534]NºAsuntos!$E$35/Población!$N$13*1000</f>
        <v>10.819793090833558</v>
      </c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2:17" ht="20.100000000000001" customHeight="1" thickBot="1" x14ac:dyDescent="0.25">
      <c r="B14" s="9" t="s">
        <v>35</v>
      </c>
      <c r="C14" s="14">
        <f>[535]NºAsuntos!$E$36/Población!$N$14*1000</f>
        <v>160.07462686567163</v>
      </c>
      <c r="D14" s="14">
        <f>[535]NºAsuntos!$E$17/Población!$N$14*1000</f>
        <v>46.714190242815768</v>
      </c>
      <c r="E14" s="14">
        <f>[535]NºAsuntos!$E$28/Población!$N$14*1000</f>
        <v>98.951139823271689</v>
      </c>
      <c r="F14" s="14">
        <f>[535]NºAsuntos!$E$31/Población!$N$14*1000</f>
        <v>2.6490680923739509</v>
      </c>
      <c r="G14" s="14">
        <f>[535]NºAsuntos!$E$35/Población!$N$14*1000</f>
        <v>11.760228707210217</v>
      </c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2:17" ht="20.100000000000001" customHeight="1" thickBot="1" x14ac:dyDescent="0.25">
      <c r="B15" s="9" t="s">
        <v>36</v>
      </c>
      <c r="C15" s="14">
        <f>[536]NºAsuntos!$E$36/Población!$N$15*1000</f>
        <v>132.47306805243338</v>
      </c>
      <c r="D15" s="14">
        <f>[536]NºAsuntos!$E$17/Población!$N$15*1000</f>
        <v>32.219075701398417</v>
      </c>
      <c r="E15" s="14">
        <f>[536]NºAsuntos!$E$28/Población!$N$15*1000</f>
        <v>94.526026917350308</v>
      </c>
      <c r="F15" s="14">
        <f>[536]NºAsuntos!$E$31/Población!$N$15*1000</f>
        <v>2.1428779960879338</v>
      </c>
      <c r="G15" s="14">
        <f>[536]NºAsuntos!$E$35/Población!$N$15*1000</f>
        <v>3.585087437596707</v>
      </c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2:17" ht="20.100000000000001" customHeight="1" thickBot="1" x14ac:dyDescent="0.25">
      <c r="B16" s="9" t="s">
        <v>37</v>
      </c>
      <c r="C16" s="14">
        <f>[537]NºAsuntos!$E$36/Población!$N$16*1000</f>
        <v>141.125043734423</v>
      </c>
      <c r="D16" s="14">
        <f>[537]NºAsuntos!$E$17/Población!$N$16*1000</f>
        <v>32.655035829830979</v>
      </c>
      <c r="E16" s="14">
        <f>[537]NºAsuntos!$E$28/Población!$N$16*1000</f>
        <v>100.37823976686492</v>
      </c>
      <c r="F16" s="14">
        <f>[537]NºAsuntos!$E$31/Población!$N$16*1000</f>
        <v>2.306585864170601</v>
      </c>
      <c r="G16" s="14">
        <f>[537]NºAsuntos!$E$35/Población!$N$16*1000</f>
        <v>5.785182273556476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2:17" ht="20.100000000000001" customHeight="1" thickBot="1" x14ac:dyDescent="0.25">
      <c r="B17" s="9" t="s">
        <v>29</v>
      </c>
      <c r="C17" s="14">
        <f>[538]NºAsuntos!$E$36/Población!$N$17*1000</f>
        <v>199.32841360717288</v>
      </c>
      <c r="D17" s="14">
        <f>[538]NºAsuntos!$E$17/Población!$N$17*1000</f>
        <v>46.70196410880807</v>
      </c>
      <c r="E17" s="14">
        <f>[538]NºAsuntos!$E$28/Población!$N$17*1000</f>
        <v>144.23474615410041</v>
      </c>
      <c r="F17" s="14">
        <f>[538]NºAsuntos!$E$31/Población!$N$17*1000</f>
        <v>2.0626403046525983</v>
      </c>
      <c r="G17" s="14">
        <f>[538]NºAsuntos!$E$35/Población!$N$17*1000</f>
        <v>6.3290630396118051</v>
      </c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20.100000000000001" customHeight="1" thickBot="1" x14ac:dyDescent="0.25">
      <c r="B18" s="9" t="s">
        <v>38</v>
      </c>
      <c r="C18" s="14">
        <f>[539]NºAsuntos!$E$36/Población!$N$18*1000</f>
        <v>179.7948505506975</v>
      </c>
      <c r="D18" s="14">
        <f>[539]NºAsuntos!$E$17/Población!$N$18*1000</f>
        <v>43.002854801379669</v>
      </c>
      <c r="E18" s="14">
        <f>[539]NºAsuntos!$E$28/Población!$N$18*1000</f>
        <v>125.99976585225278</v>
      </c>
      <c r="F18" s="14">
        <f>[539]NºAsuntos!$E$31/Población!$N$18*1000</f>
        <v>1.6500211633540764</v>
      </c>
      <c r="G18" s="14">
        <f>[539]NºAsuntos!$E$35/Población!$N$18*1000</f>
        <v>9.1422087337109712</v>
      </c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ht="20.100000000000001" customHeight="1" thickBot="1" x14ac:dyDescent="0.25">
      <c r="B19" s="9" t="s">
        <v>39</v>
      </c>
      <c r="C19" s="14">
        <f>[540]NºAsuntos!$E$36/Población!$N$19*1000</f>
        <v>133.78520578122803</v>
      </c>
      <c r="D19" s="14">
        <f>[540]NºAsuntos!$E$17/Población!$N$19*1000</f>
        <v>33.714334548474284</v>
      </c>
      <c r="E19" s="14">
        <f>[540]NºAsuntos!$E$28/Población!$N$19*1000</f>
        <v>89.057775161229898</v>
      </c>
      <c r="F19" s="14">
        <f>[540]NºAsuntos!$E$31/Población!$N$19*1000</f>
        <v>1.7385464405117577</v>
      </c>
      <c r="G19" s="14">
        <f>[540]NºAsuntos!$E$35/Población!$N$19*1000</f>
        <v>9.2745496310120785</v>
      </c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ht="20.100000000000001" customHeight="1" thickBot="1" x14ac:dyDescent="0.25">
      <c r="B20" s="9" t="s">
        <v>40</v>
      </c>
      <c r="C20" s="14">
        <f>[541]NºAsuntos!$E$36/Población!$N$20*1000</f>
        <v>145.98234525428703</v>
      </c>
      <c r="D20" s="14">
        <f>[541]NºAsuntos!$E$17/Población!$N$20*1000</f>
        <v>40.461903618956185</v>
      </c>
      <c r="E20" s="14">
        <f>[541]NºAsuntos!$E$28/Población!$N$20*1000</f>
        <v>93.802170840333886</v>
      </c>
      <c r="F20" s="14">
        <f>[541]NºAsuntos!$E$31/Población!$N$20*1000</f>
        <v>2.7628876976824812</v>
      </c>
      <c r="G20" s="14">
        <f>[541]NºAsuntos!$E$35/Población!$N$20*1000</f>
        <v>8.9553830973144528</v>
      </c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ht="20.100000000000001" customHeight="1" thickBot="1" x14ac:dyDescent="0.25">
      <c r="B21" s="9" t="s">
        <v>41</v>
      </c>
      <c r="C21" s="14">
        <f>[542]NºAsuntos!$E$36/Población!$N$21*1000</f>
        <v>125.03959167982359</v>
      </c>
      <c r="D21" s="14">
        <f>[542]NºAsuntos!$E$17/Población!$N$21*1000</f>
        <v>30.16462885369091</v>
      </c>
      <c r="E21" s="14">
        <f>[542]NºAsuntos!$E$28/Población!$N$21*1000</f>
        <v>87.715819989023132</v>
      </c>
      <c r="F21" s="14">
        <f>[542]NºAsuntos!$E$31/Población!$N$21*1000</f>
        <v>1.8375375063165351</v>
      </c>
      <c r="G21" s="14">
        <f>[542]NºAsuntos!$E$35/Población!$N$21*1000</f>
        <v>5.3216053307930178</v>
      </c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ht="20.100000000000001" customHeight="1" thickBot="1" x14ac:dyDescent="0.25">
      <c r="B22" s="9" t="s">
        <v>42</v>
      </c>
      <c r="C22" s="14">
        <f>[543]NºAsuntos!$E$36/Población!$N$22*1000</f>
        <v>198.73044835860978</v>
      </c>
      <c r="D22" s="14">
        <f>[543]NºAsuntos!$E$17/Población!$N$22*1000</f>
        <v>39.212505340661949</v>
      </c>
      <c r="E22" s="14">
        <f>[543]NºAsuntos!$E$28/Población!$N$22*1000</f>
        <v>149.05024559013913</v>
      </c>
      <c r="F22" s="14">
        <f>[543]NºAsuntos!$E$31/Población!$N$22*1000</f>
        <v>3.7159763693778491</v>
      </c>
      <c r="G22" s="14">
        <f>[543]NºAsuntos!$E$35/Población!$N$22*1000</f>
        <v>6.7517210584308573</v>
      </c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2:17" ht="20.100000000000001" customHeight="1" thickBot="1" x14ac:dyDescent="0.25">
      <c r="B23" s="9" t="s">
        <v>5</v>
      </c>
      <c r="C23" s="14">
        <f>[544]NºAsuntos!$E$36/Población!$N$23*1000</f>
        <v>189.72789928956442</v>
      </c>
      <c r="D23" s="14">
        <f>[544]NºAsuntos!$E$17/Población!$N$23*1000</f>
        <v>52.308536846164337</v>
      </c>
      <c r="E23" s="14">
        <f>[544]NºAsuntos!$E$28/Población!$N$23*1000</f>
        <v>126.04127901983797</v>
      </c>
      <c r="F23" s="14">
        <f>[544]NºAsuntos!$E$31/Población!$N$23*1000</f>
        <v>2.4702750306889998</v>
      </c>
      <c r="G23" s="14">
        <f>[544]NºAsuntos!$E$35/Población!$N$23*1000</f>
        <v>8.9078083928730791</v>
      </c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2:17" ht="20.100000000000001" customHeight="1" thickBot="1" x14ac:dyDescent="0.25">
      <c r="B24" s="9" t="s">
        <v>43</v>
      </c>
      <c r="C24" s="14">
        <f>[545]NºAsuntos!$E$36/Población!$N$24*1000</f>
        <v>171.83127013847997</v>
      </c>
      <c r="D24" s="14">
        <f>[545]NºAsuntos!$E$17/Población!$N$24*1000</f>
        <v>40.015614558590983</v>
      </c>
      <c r="E24" s="14">
        <f>[545]NºAsuntos!$E$28/Población!$N$24*1000</f>
        <v>121.48755135932672</v>
      </c>
      <c r="F24" s="14">
        <f>[545]NºAsuntos!$E$31/Población!$N$24*1000</f>
        <v>2.4232339338763142</v>
      </c>
      <c r="G24" s="14">
        <f>[545]NºAsuntos!$E$35/Población!$N$24*1000</f>
        <v>7.9048702866859424</v>
      </c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17" ht="20.100000000000001" customHeight="1" thickBot="1" x14ac:dyDescent="0.25">
      <c r="B25" s="9" t="s">
        <v>44</v>
      </c>
      <c r="C25" s="14">
        <f>[546]NºAsuntos!$E$36/Población!$N$25*1000</f>
        <v>141.8085808580858</v>
      </c>
      <c r="D25" s="14">
        <f>[546]NºAsuntos!$E$17/Población!$N$25*1000</f>
        <v>33.638849599245638</v>
      </c>
      <c r="E25" s="14">
        <f>[546]NºAsuntos!$E$28/Población!$N$25*1000</f>
        <v>99.209806694955219</v>
      </c>
      <c r="F25" s="14">
        <f>[546]NºAsuntos!$E$31/Población!$N$25*1000</f>
        <v>1.8481848184818481</v>
      </c>
      <c r="G25" s="14">
        <f>[546]NºAsuntos!$E$35/Población!$N$25*1000</f>
        <v>7.1117397454031117</v>
      </c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2:17" ht="20.100000000000001" customHeight="1" thickBot="1" x14ac:dyDescent="0.25">
      <c r="B26" s="9" t="s">
        <v>45</v>
      </c>
      <c r="C26" s="14">
        <f>[547]NºAsuntos!$E$36/Población!$N$26*1000</f>
        <v>178.83201698450463</v>
      </c>
      <c r="D26" s="14">
        <f>[547]NºAsuntos!$E$17/Población!$N$26*1000</f>
        <v>38.71731191376486</v>
      </c>
      <c r="E26" s="14">
        <f>[547]NºAsuntos!$E$28/Población!$N$26*1000</f>
        <v>128.67403026483595</v>
      </c>
      <c r="F26" s="14">
        <f>[547]NºAsuntos!$E$31/Población!$N$26*1000</f>
        <v>3.5363667777918653</v>
      </c>
      <c r="G26" s="14">
        <f>[547]NºAsuntos!$E$35/Población!$N$26*1000</f>
        <v>7.9043080281119407</v>
      </c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2:17" ht="20.100000000000001" customHeight="1" thickBot="1" x14ac:dyDescent="0.25">
      <c r="B27" s="9" t="s">
        <v>46</v>
      </c>
      <c r="C27" s="14">
        <f>[548]NºAsuntos!$E$36/Población!$N$27*1000</f>
        <v>152.85280061123635</v>
      </c>
      <c r="D27" s="14">
        <f>[548]NºAsuntos!$E$17/Población!$N$27*1000</f>
        <v>42.046103237052534</v>
      </c>
      <c r="E27" s="14">
        <f>[548]NºAsuntos!$E$28/Población!$N$27*1000</f>
        <v>97.888734350836742</v>
      </c>
      <c r="F27" s="14">
        <f>[548]NºAsuntos!$E$31/Población!$N$27*1000</f>
        <v>2.529917100193984</v>
      </c>
      <c r="G27" s="14">
        <f>[548]NºAsuntos!$E$35/Población!$N$27*1000</f>
        <v>10.388045923153113</v>
      </c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2:17" ht="20.100000000000001" customHeight="1" thickBot="1" x14ac:dyDescent="0.25">
      <c r="B28" s="9" t="s">
        <v>47</v>
      </c>
      <c r="C28" s="14">
        <f>[549]NºAsuntos!$E$36/Población!$N$28*1000</f>
        <v>140.35755563301473</v>
      </c>
      <c r="D28" s="14">
        <f>[549]NºAsuntos!$E$17/Población!$N$28*1000</f>
        <v>29.72903557210736</v>
      </c>
      <c r="E28" s="14">
        <f>[549]NºAsuntos!$E$28/Población!$N$28*1000</f>
        <v>100.47882001137427</v>
      </c>
      <c r="F28" s="14">
        <f>[549]NºAsuntos!$E$31/Población!$N$28*1000</f>
        <v>2.3482360711075234</v>
      </c>
      <c r="G28" s="14">
        <f>[549]NºAsuntos!$E$35/Población!$N$28*1000</f>
        <v>7.8014639784255806</v>
      </c>
    </row>
    <row r="29" spans="2:17" ht="20.100000000000001" customHeight="1" thickBot="1" x14ac:dyDescent="0.25">
      <c r="B29" s="9" t="s">
        <v>48</v>
      </c>
      <c r="C29" s="14">
        <f>[550]NºAsuntos!$E$36/Población!$N$10*1000</f>
        <v>204.43752684088105</v>
      </c>
      <c r="D29" s="14">
        <f>[550]NºAsuntos!$E$17/Población!$N$10*1000</f>
        <v>46.296641073188411</v>
      </c>
      <c r="E29" s="14">
        <f>[550]NºAsuntos!$E$28/Población!$N$10*1000</f>
        <v>142.71280939933521</v>
      </c>
      <c r="F29" s="14">
        <f>[550]NºAsuntos!$E$31/Población!$N$10*1000</f>
        <v>3.7608263391893</v>
      </c>
      <c r="G29" s="14">
        <f>[550]NºAsuntos!$E$35/Población!$N$10*1000</f>
        <v>11.667250029168125</v>
      </c>
    </row>
    <row r="30" spans="2:17" ht="20.100000000000001" customHeight="1" thickBot="1" x14ac:dyDescent="0.25">
      <c r="B30" s="9" t="s">
        <v>49</v>
      </c>
      <c r="C30" s="14">
        <f>[551]NºAsuntos!$E$36/Población!$N$30*1000</f>
        <v>169.50554536538226</v>
      </c>
      <c r="D30" s="14">
        <f>[551]NºAsuntos!$E$17/Población!$N$30*1000</f>
        <v>39.520657749790914</v>
      </c>
      <c r="E30" s="14">
        <f>[551]NºAsuntos!$E$28/Población!$N$30*1000</f>
        <v>122.49040540842171</v>
      </c>
      <c r="F30" s="14">
        <f>[551]NºAsuntos!$E$31/Población!$N$30*1000</f>
        <v>1.9970405460940857</v>
      </c>
      <c r="G30" s="14">
        <f>[551]NºAsuntos!$E$35/Población!$N$30*1000</f>
        <v>5.4974416610755652</v>
      </c>
    </row>
    <row r="31" spans="2:17" ht="20.100000000000001" customHeight="1" thickBot="1" x14ac:dyDescent="0.25">
      <c r="B31" s="9" t="s">
        <v>50</v>
      </c>
      <c r="C31" s="14">
        <f>[552]NºAsuntos!$E$36/Población!$N$31*1000</f>
        <v>246.26948147634485</v>
      </c>
      <c r="D31" s="14">
        <f>[552]NºAsuntos!$E$17/Población!$N$31*1000</f>
        <v>44.758637726886604</v>
      </c>
      <c r="E31" s="14">
        <f>[552]NºAsuntos!$E$28/Población!$N$31*1000</f>
        <v>186.94416032453236</v>
      </c>
      <c r="F31" s="14">
        <f>[552]NºAsuntos!$E$31/Población!$N$31*1000</f>
        <v>3.8627065166513534</v>
      </c>
      <c r="G31" s="14">
        <f>[552]NºAsuntos!$E$35/Población!$N$31*1000</f>
        <v>10.703976908274534</v>
      </c>
    </row>
    <row r="32" spans="2:17" ht="20.100000000000001" customHeight="1" thickBot="1" x14ac:dyDescent="0.25">
      <c r="B32" s="9" t="s">
        <v>51</v>
      </c>
      <c r="C32" s="14">
        <f>[553]NºAsuntos!$E$36/Población!$N$32*1000</f>
        <v>162.52018016698969</v>
      </c>
      <c r="D32" s="14">
        <f>[553]NºAsuntos!$E$17/Población!$N$32*1000</f>
        <v>35.077850171651825</v>
      </c>
      <c r="E32" s="14">
        <f>[553]NºAsuntos!$E$28/Población!$N$32*1000</f>
        <v>115.05873921637377</v>
      </c>
      <c r="F32" s="14">
        <f>[553]NºAsuntos!$E$31/Población!$N$32*1000</f>
        <v>2.6701395176795599</v>
      </c>
      <c r="G32" s="14">
        <f>[553]NºAsuntos!$E$35/Población!$N$32*1000</f>
        <v>9.7134512612845185</v>
      </c>
    </row>
    <row r="33" spans="2:7" ht="20.100000000000001" customHeight="1" thickBot="1" x14ac:dyDescent="0.25">
      <c r="B33" s="9" t="s">
        <v>52</v>
      </c>
      <c r="C33" s="14">
        <f>[554]NºAsuntos!$E$36/Población!$N$33*1000</f>
        <v>186.37039983781574</v>
      </c>
      <c r="D33" s="14">
        <f>[554]NºAsuntos!$E$17/Población!$N$33*1000</f>
        <v>38.555106318684473</v>
      </c>
      <c r="E33" s="14">
        <f>[554]NºAsuntos!$E$28/Población!$N$33*1000</f>
        <v>136.0626704560668</v>
      </c>
      <c r="F33" s="14">
        <f>[554]NºAsuntos!$E$31/Población!$N$33*1000</f>
        <v>3.2666363208647788</v>
      </c>
      <c r="G33" s="14">
        <f>[554]NºAsuntos!$E$35/Población!$N$33*1000</f>
        <v>8.4859867421996622</v>
      </c>
    </row>
    <row r="34" spans="2:7" ht="20.100000000000001" customHeight="1" thickBot="1" x14ac:dyDescent="0.25">
      <c r="B34" s="9" t="s">
        <v>53</v>
      </c>
      <c r="C34" s="14">
        <f>[555]NºAsuntos!$E$36/Población!$N$34*1000</f>
        <v>139.5287532566814</v>
      </c>
      <c r="D34" s="14">
        <f>[555]NºAsuntos!$E$17/Población!$N$34*1000</f>
        <v>35.732330443875242</v>
      </c>
      <c r="E34" s="14">
        <f>[555]NºAsuntos!$E$28/Población!$N$34*1000</f>
        <v>97.746574168859752</v>
      </c>
      <c r="F34" s="14">
        <f>[555]NºAsuntos!$E$31/Población!$N$34*1000</f>
        <v>1.9946487177572065</v>
      </c>
      <c r="G34" s="14">
        <f>[555]NºAsuntos!$E$35/Población!$N$34*1000</f>
        <v>4.0551999261892098</v>
      </c>
    </row>
    <row r="35" spans="2:7" ht="20.100000000000001" customHeight="1" thickBot="1" x14ac:dyDescent="0.25">
      <c r="B35" s="9" t="s">
        <v>54</v>
      </c>
      <c r="C35" s="14">
        <f>[556]NºAsuntos!$E$36/Población!$N$35*1000</f>
        <v>155.33195472680018</v>
      </c>
      <c r="D35" s="14">
        <f>[556]NºAsuntos!$E$17/Población!$N$35*1000</f>
        <v>35.054502702009124</v>
      </c>
      <c r="E35" s="14">
        <f>[556]NºAsuntos!$E$28/Población!$N$35*1000</f>
        <v>111.22251365924548</v>
      </c>
      <c r="F35" s="14">
        <f>[556]NºAsuntos!$E$31/Población!$N$35*1000</f>
        <v>3.919479829673461</v>
      </c>
      <c r="G35" s="14">
        <f>[556]NºAsuntos!$E$35/Población!$N$35*1000</f>
        <v>5.1354585358721181</v>
      </c>
    </row>
    <row r="36" spans="2:7" ht="20.100000000000001" customHeight="1" thickBot="1" x14ac:dyDescent="0.25">
      <c r="B36" s="9" t="s">
        <v>55</v>
      </c>
      <c r="C36" s="14">
        <f>[557]NºAsuntos!$E$36/Población!$N$36*1000</f>
        <v>159.73878099144304</v>
      </c>
      <c r="D36" s="14">
        <f>[557]NºAsuntos!$E$17/Población!$N$36*1000</f>
        <v>44.358288283368822</v>
      </c>
      <c r="E36" s="14">
        <f>[557]NºAsuntos!$E$28/Población!$N$36*1000</f>
        <v>100.70563109387987</v>
      </c>
      <c r="F36" s="14">
        <f>[557]NºAsuntos!$E$31/Población!$N$36*1000</f>
        <v>2.5503032656420959</v>
      </c>
      <c r="G36" s="14">
        <f>[557]NºAsuntos!$E$35/Población!$N$36*1000</f>
        <v>12.124558348552233</v>
      </c>
    </row>
    <row r="37" spans="2:7" ht="20.100000000000001" customHeight="1" thickBot="1" x14ac:dyDescent="0.25">
      <c r="B37" s="9" t="s">
        <v>56</v>
      </c>
      <c r="C37" s="14">
        <f>[558]NºAsuntos!$E$36/Población!$N$37*1000</f>
        <v>136.2948951768721</v>
      </c>
      <c r="D37" s="14">
        <f>[558]NºAsuntos!$E$17/Población!$N$37*1000</f>
        <v>35.999656909658896</v>
      </c>
      <c r="E37" s="14">
        <f>[558]NºAsuntos!$E$28/Población!$N$37*1000</f>
        <v>94.108326260857012</v>
      </c>
      <c r="F37" s="14">
        <f>[558]NºAsuntos!$E$31/Población!$N$37*1000</f>
        <v>1.4829628559562289</v>
      </c>
      <c r="G37" s="14">
        <f>[558]NºAsuntos!$E$35/Población!$N$37*1000</f>
        <v>4.7039491503999713</v>
      </c>
    </row>
    <row r="38" spans="2:7" ht="20.100000000000001" customHeight="1" thickBot="1" x14ac:dyDescent="0.25">
      <c r="B38" s="9" t="s">
        <v>57</v>
      </c>
      <c r="C38" s="14">
        <f>[559]NºAsuntos!$E$36/Población!$N$38*1000</f>
        <v>130.71865452190013</v>
      </c>
      <c r="D38" s="14">
        <f>[559]NºAsuntos!$E$17/Población!$N$38*1000</f>
        <v>40.062825664513248</v>
      </c>
      <c r="E38" s="14">
        <f>[559]NºAsuntos!$E$28/Población!$N$38*1000</f>
        <v>78.913276507443356</v>
      </c>
      <c r="F38" s="14">
        <f>[559]NºAsuntos!$E$31/Población!$N$38*1000</f>
        <v>2.3903560312064709</v>
      </c>
      <c r="G38" s="14">
        <f>[559]NºAsuntos!$E$35/Población!$N$38*1000</f>
        <v>9.3521963187370662</v>
      </c>
    </row>
    <row r="39" spans="2:7" ht="20.100000000000001" customHeight="1" thickBot="1" x14ac:dyDescent="0.25">
      <c r="B39" s="9" t="s">
        <v>58</v>
      </c>
      <c r="C39" s="14">
        <f>[560]NºAsuntos!$E$36/Población!$N$39*1000</f>
        <v>207.97530529840458</v>
      </c>
      <c r="D39" s="14">
        <f>[560]NºAsuntos!$E$17/Población!$N$39*1000</f>
        <v>42.874575290525897</v>
      </c>
      <c r="E39" s="14">
        <f>[560]NºAsuntos!$E$28/Población!$N$39*1000</f>
        <v>151.79285872562536</v>
      </c>
      <c r="F39" s="14">
        <f>[560]NºAsuntos!$E$31/Población!$N$39*1000</f>
        <v>3.7973027870789839</v>
      </c>
      <c r="G39" s="14">
        <f>[560]NºAsuntos!$E$35/Población!$N$39*1000</f>
        <v>9.510568495174315</v>
      </c>
    </row>
    <row r="40" spans="2:7" ht="20.100000000000001" customHeight="1" thickBot="1" x14ac:dyDescent="0.25">
      <c r="B40" s="9" t="s">
        <v>59</v>
      </c>
      <c r="C40" s="14">
        <f>[561]NºAsuntos!$E$36/Población!$N$40*1000</f>
        <v>282.76556305595403</v>
      </c>
      <c r="D40" s="14">
        <f>[561]NºAsuntos!$E$17/Población!$N$40*1000</f>
        <v>50.915911176541563</v>
      </c>
      <c r="E40" s="14">
        <f>[561]NºAsuntos!$E$28/Población!$N$40*1000</f>
        <v>218.13810022314328</v>
      </c>
      <c r="F40" s="14">
        <f>[561]NºAsuntos!$E$31/Población!$N$40*1000</f>
        <v>3.8541269320905882</v>
      </c>
      <c r="G40" s="14">
        <f>[561]NºAsuntos!$E$35/Población!$N$40*1000</f>
        <v>9.8574247241785677</v>
      </c>
    </row>
    <row r="41" spans="2:7" ht="20.100000000000001" customHeight="1" thickBot="1" x14ac:dyDescent="0.25">
      <c r="B41" s="9" t="s">
        <v>60</v>
      </c>
      <c r="C41" s="14">
        <f>[562]NºAsuntos!$E$36/Población!$N$41*1000</f>
        <v>192.19722079230954</v>
      </c>
      <c r="D41" s="14">
        <f>[562]NºAsuntos!$E$17/Población!$N$41*1000</f>
        <v>46.647934245267216</v>
      </c>
      <c r="E41" s="14">
        <f>[562]NºAsuntos!$E$28/Población!$N$41*1000</f>
        <v>133.31420754464887</v>
      </c>
      <c r="F41" s="14">
        <f>[562]NºAsuntos!$E$31/Población!$N$41*1000</f>
        <v>4.0835593499673442</v>
      </c>
      <c r="G41" s="14">
        <f>[562]NºAsuntos!$E$35/Población!$N$41*1000</f>
        <v>8.151519652426094</v>
      </c>
    </row>
    <row r="42" spans="2:7" ht="20.100000000000001" customHeight="1" thickBot="1" x14ac:dyDescent="0.25">
      <c r="B42" s="9" t="s">
        <v>61</v>
      </c>
      <c r="C42" s="14">
        <f>[563]NºAsuntos!$E$36/Población!$N$42*1000</f>
        <v>139.16650893779692</v>
      </c>
      <c r="D42" s="14">
        <f>[563]NºAsuntos!$E$17/Población!$N$42*1000</f>
        <v>29.937973768396098</v>
      </c>
      <c r="E42" s="14">
        <f>[563]NºAsuntos!$E$28/Población!$N$42*1000</f>
        <v>99.48089101814243</v>
      </c>
      <c r="F42" s="14">
        <f>[563]NºAsuntos!$E$31/Población!$N$42*1000</f>
        <v>2.3349044163049246</v>
      </c>
      <c r="G42" s="14">
        <f>[563]NºAsuntos!$E$35/Población!$N$42*1000</f>
        <v>7.4127397349534414</v>
      </c>
    </row>
    <row r="43" spans="2:7" ht="20.100000000000001" customHeight="1" thickBot="1" x14ac:dyDescent="0.25">
      <c r="B43" s="9" t="s">
        <v>62</v>
      </c>
      <c r="C43" s="14">
        <f>[564]NºAsuntos!$E$36/Población!$N$43*1000</f>
        <v>137.63826353415672</v>
      </c>
      <c r="D43" s="14">
        <f>[564]NºAsuntos!$E$17/Población!$N$43*1000</f>
        <v>36.613909773297763</v>
      </c>
      <c r="E43" s="14">
        <f>[564]NºAsuntos!$E$28/Población!$N$43*1000</f>
        <v>88.588584042124779</v>
      </c>
      <c r="F43" s="14">
        <f>[564]NºAsuntos!$E$31/Población!$N$43*1000</f>
        <v>2.2376512836972418</v>
      </c>
      <c r="G43" s="14">
        <f>[564]NºAsuntos!$E$35/Población!$N$43*1000</f>
        <v>10.198118435036957</v>
      </c>
    </row>
    <row r="44" spans="2:7" ht="20.100000000000001" customHeight="1" thickBot="1" x14ac:dyDescent="0.25">
      <c r="B44" s="9" t="s">
        <v>63</v>
      </c>
      <c r="C44" s="14">
        <f>[565]NºAsuntos!$E$36/Población!$N$44*1000</f>
        <v>161.58113324702865</v>
      </c>
      <c r="D44" s="14">
        <f>[565]NºAsuntos!$E$17/Población!$N$44*1000</f>
        <v>40.951772858540352</v>
      </c>
      <c r="E44" s="14">
        <f>[565]NºAsuntos!$E$28/Población!$N$44*1000</f>
        <v>108.38659035925794</v>
      </c>
      <c r="F44" s="14">
        <f>[565]NºAsuntos!$E$31/Población!$N$44*1000</f>
        <v>2.9230345667875324</v>
      </c>
      <c r="G44" s="14">
        <f>[565]NºAsuntos!$E$35/Población!$N$44*1000</f>
        <v>9.3197354624428144</v>
      </c>
    </row>
    <row r="45" spans="2:7" ht="20.100000000000001" customHeight="1" thickBot="1" x14ac:dyDescent="0.25">
      <c r="B45" s="9" t="s">
        <v>64</v>
      </c>
      <c r="C45" s="14">
        <f>[566]NºAsuntos!$E$36/Población!$N$45*1000</f>
        <v>207.88453624730084</v>
      </c>
      <c r="D45" s="14">
        <f>[566]NºAsuntos!$E$17/Población!$N$45*1000</f>
        <v>49.213626655935208</v>
      </c>
      <c r="E45" s="14">
        <f>[566]NºAsuntos!$E$28/Población!$N$45*1000</f>
        <v>143.69288880127687</v>
      </c>
      <c r="F45" s="14">
        <f>[566]NºAsuntos!$E$31/Población!$N$45*1000</f>
        <v>2.6489512751030375</v>
      </c>
      <c r="G45" s="14">
        <f>[566]NºAsuntos!$E$35/Población!$N$45*1000</f>
        <v>12.329069514985743</v>
      </c>
    </row>
    <row r="46" spans="2:7" ht="20.100000000000001" customHeight="1" thickBot="1" x14ac:dyDescent="0.25">
      <c r="B46" s="9" t="s">
        <v>65</v>
      </c>
      <c r="C46" s="14">
        <f>[567]NºAsuntos!$E$36/Población!$N$46*1000</f>
        <v>196.17123038976322</v>
      </c>
      <c r="D46" s="14">
        <f>[567]NºAsuntos!$E$17/Población!$N$46*1000</f>
        <v>50.047577908825708</v>
      </c>
      <c r="E46" s="14">
        <f>[567]NºAsuntos!$E$28/Población!$N$46*1000</f>
        <v>133.3642172390623</v>
      </c>
      <c r="F46" s="14">
        <f>[567]NºAsuntos!$E$31/Población!$N$46*1000</f>
        <v>2.3945460691882956</v>
      </c>
      <c r="G46" s="14">
        <f>[567]NºAsuntos!$E$35/Población!$N$46*1000</f>
        <v>10.364889172686942</v>
      </c>
    </row>
    <row r="47" spans="2:7" ht="20.100000000000001" customHeight="1" thickBot="1" x14ac:dyDescent="0.25">
      <c r="B47" s="9" t="s">
        <v>30</v>
      </c>
      <c r="C47" s="14">
        <f>[568]NºAsuntos!$E$36/Población!$N$47*1000</f>
        <v>119.53623045094542</v>
      </c>
      <c r="D47" s="14">
        <f>[568]NºAsuntos!$E$17/Población!$N$47*1000</f>
        <v>36.856206100571981</v>
      </c>
      <c r="E47" s="14">
        <f>[568]NºAsuntos!$E$28/Población!$N$47*1000</f>
        <v>71.428792153493873</v>
      </c>
      <c r="F47" s="14">
        <f>[568]NºAsuntos!$E$31/Población!$N$47*1000</f>
        <v>2.2898003454786484</v>
      </c>
      <c r="G47" s="14">
        <f>[568]NºAsuntos!$E$35/Población!$N$47*1000</f>
        <v>8.9614318514009188</v>
      </c>
    </row>
    <row r="48" spans="2:7" ht="20.100000000000001" customHeight="1" thickBot="1" x14ac:dyDescent="0.25">
      <c r="B48" s="9" t="s">
        <v>66</v>
      </c>
      <c r="C48" s="14">
        <f>[569]NºAsuntos!$E$36/Población!$N$48*1000</f>
        <v>150.56879770883492</v>
      </c>
      <c r="D48" s="14">
        <f>[569]NºAsuntos!$E$17/Población!$N$48*1000</f>
        <v>38.355335972889399</v>
      </c>
      <c r="E48" s="14">
        <f>[569]NºAsuntos!$E$28/Población!$N$48*1000</f>
        <v>102.58041327689095</v>
      </c>
      <c r="F48" s="14">
        <f>[569]NºAsuntos!$E$31/Población!$N$48*1000</f>
        <v>2.5901119339122101</v>
      </c>
      <c r="G48" s="14">
        <f>[569]NºAsuntos!$E$35/Población!$N$48*1000</f>
        <v>7.0429365251423421</v>
      </c>
    </row>
    <row r="49" spans="2:7" ht="20.100000000000001" customHeight="1" thickBot="1" x14ac:dyDescent="0.25">
      <c r="B49" s="9" t="s">
        <v>67</v>
      </c>
      <c r="C49" s="14">
        <f>[570]NºAsuntos!$E$36/Población!$N$49*1000</f>
        <v>189.00947489560517</v>
      </c>
      <c r="D49" s="14">
        <f>[570]NºAsuntos!$E$17/Población!$N$49*1000</f>
        <v>42.933335691983835</v>
      </c>
      <c r="E49" s="14">
        <f>[570]NºAsuntos!$E$28/Población!$N$49*1000</f>
        <v>136.12459964364723</v>
      </c>
      <c r="F49" s="14">
        <f>[570]NºAsuntos!$E$31/Población!$N$49*1000</f>
        <v>2.0657847279345787</v>
      </c>
      <c r="G49" s="14">
        <f>[570]NºAsuntos!$E$35/Población!$N$49*1000</f>
        <v>7.885754832039515</v>
      </c>
    </row>
    <row r="50" spans="2:7" ht="20.100000000000001" customHeight="1" thickBot="1" x14ac:dyDescent="0.25">
      <c r="B50" s="9" t="s">
        <v>68</v>
      </c>
      <c r="C50" s="14">
        <f>[571]NºAsuntos!$E$36/Población!$N$50*1000</f>
        <v>140.07244916035944</v>
      </c>
      <c r="D50" s="14">
        <f>[571]NºAsuntos!$E$17/Población!$N$50*1000</f>
        <v>34.709623032235598</v>
      </c>
      <c r="E50" s="14">
        <f>[571]NºAsuntos!$E$28/Población!$N$50*1000</f>
        <v>96.963366137042541</v>
      </c>
      <c r="F50" s="14">
        <f>[571]NºAsuntos!$E$31/Población!$N$50*1000</f>
        <v>2.5473271391133836</v>
      </c>
      <c r="G50" s="14">
        <f>[571]NºAsuntos!$E$35/Población!$N$50*1000</f>
        <v>5.8521328519679168</v>
      </c>
    </row>
    <row r="51" spans="2:7" ht="20.100000000000001" customHeight="1" thickBot="1" x14ac:dyDescent="0.25">
      <c r="B51" s="9" t="s">
        <v>69</v>
      </c>
      <c r="C51" s="14">
        <f>[572]NºAsuntos!$E$36/Población!$N$51*1000</f>
        <v>217.27264006634437</v>
      </c>
      <c r="D51" s="14">
        <f>[572]NºAsuntos!$E$17/Población!$N$51*1000</f>
        <v>41.160943880629652</v>
      </c>
      <c r="E51" s="14">
        <f>[572]NºAsuntos!$E$28/Población!$N$51*1000</f>
        <v>163.70461904079167</v>
      </c>
      <c r="F51" s="14">
        <f>[572]NºAsuntos!$E$31/Población!$N$51*1000</f>
        <v>3.9608576494579091</v>
      </c>
      <c r="G51" s="14">
        <f>[572]NºAsuntos!$E$35/Población!$N$51*1000</f>
        <v>8.4462194954651277</v>
      </c>
    </row>
    <row r="52" spans="2:7" ht="20.100000000000001" customHeight="1" thickBot="1" x14ac:dyDescent="0.25">
      <c r="B52" s="9" t="s">
        <v>70</v>
      </c>
      <c r="C52" s="14">
        <f>[573]NºAsuntos!$E$36/Población!$N$52*1000</f>
        <v>141.67072215992044</v>
      </c>
      <c r="D52" s="14">
        <f>[573]NºAsuntos!$E$17/Población!$N$52*1000</f>
        <v>37.229428069655739</v>
      </c>
      <c r="E52" s="14">
        <f>[573]NºAsuntos!$E$28/Población!$N$52*1000</f>
        <v>93.100019043185711</v>
      </c>
      <c r="F52" s="14">
        <f>[573]NºAsuntos!$E$31/Población!$N$52*1000</f>
        <v>5.8399102854361953</v>
      </c>
      <c r="G52" s="14">
        <f>[573]NºAsuntos!$E$35/Población!$N$52*1000</f>
        <v>5.5013647616427921</v>
      </c>
    </row>
    <row r="53" spans="2:7" ht="20.100000000000001" customHeight="1" thickBot="1" x14ac:dyDescent="0.25">
      <c r="B53" s="9" t="s">
        <v>71</v>
      </c>
      <c r="C53" s="14">
        <f>[574]NºAsuntos!$E$36/Población!$N$53*1000</f>
        <v>201.82903688164689</v>
      </c>
      <c r="D53" s="14">
        <f>[574]NºAsuntos!$E$17/Población!$N$53*1000</f>
        <v>45.016021881628447</v>
      </c>
      <c r="E53" s="14">
        <f>[574]NºAsuntos!$E$28/Población!$N$53*1000</f>
        <v>148.85058812403358</v>
      </c>
      <c r="F53" s="14">
        <f>[574]NºAsuntos!$E$31/Población!$N$53*1000</f>
        <v>1.7465017765927002</v>
      </c>
      <c r="G53" s="14">
        <f>[574]NºAsuntos!$E$35/Población!$N$53*1000</f>
        <v>6.2159250993921633</v>
      </c>
    </row>
    <row r="54" spans="2:7" ht="20.100000000000001" customHeight="1" thickBot="1" x14ac:dyDescent="0.25">
      <c r="B54" s="9" t="s">
        <v>72</v>
      </c>
      <c r="C54" s="14">
        <f>[575]NºAsuntos!$E$36/Población!$N$54*1000</f>
        <v>92.494155627295996</v>
      </c>
      <c r="D54" s="14">
        <f>[575]NºAsuntos!$E$17/Población!$N$54*1000</f>
        <v>22.382555938995878</v>
      </c>
      <c r="E54" s="14">
        <f>[575]NºAsuntos!$E$28/Población!$N$54*1000</f>
        <v>63.988923522208616</v>
      </c>
      <c r="F54" s="14">
        <f>[575]NºAsuntos!$E$31/Población!$N$54*1000</f>
        <v>1.8994211287988423</v>
      </c>
      <c r="G54" s="14">
        <f>[575]NºAsuntos!$E$35/Población!$N$54*1000</f>
        <v>4.223255037292664</v>
      </c>
    </row>
    <row r="55" spans="2:7" ht="20.100000000000001" customHeight="1" thickBot="1" x14ac:dyDescent="0.25">
      <c r="B55" s="9" t="s">
        <v>73</v>
      </c>
      <c r="C55" s="14">
        <f>[576]NºAsuntos!$E$36/Población!$N$55*1000</f>
        <v>152.94814039942185</v>
      </c>
      <c r="D55" s="14">
        <f>[576]NºAsuntos!$E$17/Población!$N$55*1000</f>
        <v>32.279381576653336</v>
      </c>
      <c r="E55" s="14">
        <f>[576]NºAsuntos!$E$28/Población!$N$55*1000</f>
        <v>110.27687323896134</v>
      </c>
      <c r="F55" s="14">
        <f>[576]NºAsuntos!$E$31/Población!$N$55*1000</f>
        <v>2.2116677071206419</v>
      </c>
      <c r="G55" s="14">
        <f>[576]NºAsuntos!$E$35/Población!$N$55*1000</f>
        <v>8.1802178766865197</v>
      </c>
    </row>
    <row r="56" spans="2:7" ht="20.100000000000001" customHeight="1" thickBot="1" x14ac:dyDescent="0.25">
      <c r="B56" s="9" t="s">
        <v>74</v>
      </c>
      <c r="C56" s="14">
        <f>[577]NºAsuntos!$E$36/Población!$N$56*1000</f>
        <v>196.80586424632438</v>
      </c>
      <c r="D56" s="14">
        <f>[577]NºAsuntos!$E$17/Población!$N$56*1000</f>
        <v>46.47836788086758</v>
      </c>
      <c r="E56" s="14">
        <f>[577]NºAsuntos!$E$28/Población!$N$56*1000</f>
        <v>138.47105849677152</v>
      </c>
      <c r="F56" s="14">
        <f>[577]NºAsuntos!$E$31/Población!$N$56*1000</f>
        <v>2.5697537810098607</v>
      </c>
      <c r="G56" s="14">
        <f>[577]NºAsuntos!$E$35/Población!$N$56*1000</f>
        <v>9.2866840876754111</v>
      </c>
    </row>
    <row r="57" spans="2:7" ht="20.100000000000001" customHeight="1" thickBot="1" x14ac:dyDescent="0.25">
      <c r="B57" s="9" t="s">
        <v>75</v>
      </c>
      <c r="C57" s="14">
        <f>[578]NºAsuntos!$E$36/Población!$N$57*1000</f>
        <v>157.3556936437823</v>
      </c>
      <c r="D57" s="14">
        <f>[578]NºAsuntos!$E$17/Población!$N$57*1000</f>
        <v>42.477727034513741</v>
      </c>
      <c r="E57" s="14">
        <f>[578]NºAsuntos!$E$28/Población!$N$57*1000</f>
        <v>102.45751291457663</v>
      </c>
      <c r="F57" s="14">
        <f>[578]NºAsuntos!$E$31/Población!$N$57*1000</f>
        <v>3.0040428239874224</v>
      </c>
      <c r="G57" s="14">
        <f>[578]NºAsuntos!$E$35/Población!$N$57*1000</f>
        <v>9.4164108707044996</v>
      </c>
    </row>
    <row r="58" spans="2:7" ht="20.100000000000001" customHeight="1" thickBot="1" x14ac:dyDescent="0.25">
      <c r="B58" s="9" t="s">
        <v>76</v>
      </c>
      <c r="C58" s="14">
        <f>[579]NºAsuntos!$E$36/Población!$N$58*1000</f>
        <v>133.50416466609607</v>
      </c>
      <c r="D58" s="14">
        <f>[579]NºAsuntos!$E$17/Población!$N$58*1000</f>
        <v>37.048827839592512</v>
      </c>
      <c r="E58" s="14">
        <f>[579]NºAsuntos!$E$28/Población!$N$58*1000</f>
        <v>87.155292987913086</v>
      </c>
      <c r="F58" s="14">
        <f>[579]NºAsuntos!$E$31/Población!$N$58*1000</f>
        <v>2.2180239233450929</v>
      </c>
      <c r="G58" s="14">
        <f>[579]NºAsuntos!$E$35/Población!$N$58*1000</f>
        <v>7.0820199152453922</v>
      </c>
    </row>
    <row r="59" spans="2:7" ht="20.100000000000001" customHeight="1" thickBot="1" x14ac:dyDescent="0.25">
      <c r="B59" s="9" t="s">
        <v>77</v>
      </c>
      <c r="C59" s="14">
        <f>[580]NºAsuntos!$E$36/Población!$N$59*1000</f>
        <v>156.71025323832211</v>
      </c>
      <c r="D59" s="14">
        <f>[580]NºAsuntos!$E$17/Población!$N$59*1000</f>
        <v>37.387668305848912</v>
      </c>
      <c r="E59" s="14">
        <f>[580]NºAsuntos!$E$28/Población!$N$59*1000</f>
        <v>108.77797429789496</v>
      </c>
      <c r="F59" s="14">
        <f>[580]NºAsuntos!$E$31/Población!$N$59*1000</f>
        <v>1.9302137752650466</v>
      </c>
      <c r="G59" s="14">
        <f>[580]NºAsuntos!$E$35/Población!$N$59*1000</f>
        <v>8.6143968593131799</v>
      </c>
    </row>
    <row r="60" spans="2:7" ht="20.100000000000001" customHeight="1" thickBot="1" x14ac:dyDescent="0.25">
      <c r="B60" s="9" t="s">
        <v>78</v>
      </c>
      <c r="C60" s="14">
        <f>[581]NºAsuntos!$E$61/Población!$N$60*1000</f>
        <v>246.41148325358853</v>
      </c>
      <c r="D60" s="14">
        <f>[581]NºAsuntos!$E$21/Población!$N$60*1000</f>
        <v>28.815253874169823</v>
      </c>
      <c r="E60" s="14">
        <f>[581]NºAsuntos!$E$40/Población!$N$60*1000</f>
        <v>199.71910781023115</v>
      </c>
      <c r="F60" s="14">
        <f>[581]NºAsuntos!$E$47/Población!$N$60*1000</f>
        <v>12.437810945273633</v>
      </c>
      <c r="G60" s="14">
        <f>[581]NºAsuntos!$E$54/Población!$N$60*1000</f>
        <v>5.4393106239139231</v>
      </c>
    </row>
    <row r="61" spans="2:7" ht="20.100000000000001" customHeight="1" thickBot="1" x14ac:dyDescent="0.25">
      <c r="B61" s="9" t="s">
        <v>79</v>
      </c>
      <c r="C61" s="14">
        <f>[582]NºAsuntos!$E$61/Población!$N$61*1000</f>
        <v>262.8276527808718</v>
      </c>
      <c r="D61" s="14">
        <f>[582]NºAsuntos!$E$21/Población!$N$61*1000</f>
        <v>32.994232816019405</v>
      </c>
      <c r="E61" s="14">
        <f>[582]NºAsuntos!$E$40/Población!$N$61*1000</f>
        <v>203.47268631964553</v>
      </c>
      <c r="F61" s="14">
        <f>[582]NºAsuntos!$E$47/Población!$N$61*1000</f>
        <v>17.7965891933368</v>
      </c>
      <c r="G61" s="14">
        <f>[582]NºAsuntos!$E$54/Población!$N$61*1000</f>
        <v>8.5641444518700016</v>
      </c>
    </row>
    <row r="62" spans="2:7" ht="20.100000000000001" customHeight="1" thickBot="1" x14ac:dyDescent="0.25">
      <c r="B62" s="12" t="s">
        <v>6</v>
      </c>
      <c r="C62" s="15">
        <f>[583]NºAsuntos!$E$60/Población!$S$62*1000</f>
        <v>195.56839270317278</v>
      </c>
      <c r="D62" s="15">
        <f>[583]NºAsuntos!$E$20/Población!$S$62*1000</f>
        <v>42.419552534120619</v>
      </c>
      <c r="E62" s="15">
        <f>[583]NºAsuntos!$E$39/Población!$S$62*1000</f>
        <v>138.3298063313915</v>
      </c>
      <c r="F62" s="15">
        <f>[583]NºAsuntos!$E$46/Población!$S$62*1000</f>
        <v>4.8538684035336841</v>
      </c>
      <c r="G62" s="15">
        <f>[583]NºAsuntos!$E$53/Población!$S$62*1000</f>
        <v>9.9589600063832169</v>
      </c>
    </row>
  </sheetData>
  <pageMargins left="0.75" right="0.75" top="1" bottom="1" header="0" footer="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/>
  <dimension ref="B8:Q62"/>
  <sheetViews>
    <sheetView workbookViewId="0"/>
  </sheetViews>
  <sheetFormatPr baseColWidth="10" defaultColWidth="11.4257812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1.42578125" style="1"/>
  </cols>
  <sheetData>
    <row r="8" spans="2:17" ht="13.5" thickBot="1" x14ac:dyDescent="0.25"/>
    <row r="9" spans="2:1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17" ht="20.100000000000001" customHeight="1" thickBot="1" x14ac:dyDescent="0.25">
      <c r="B10" s="9" t="s">
        <v>31</v>
      </c>
      <c r="C10" s="14">
        <f>[584]NºAsuntos!$E$36/Población!$M$10*1000</f>
        <v>141.52734901247271</v>
      </c>
      <c r="D10" s="14">
        <f>[584]NºAsuntos!$E$17/Población!$M$10*1000</f>
        <v>36.374211444678089</v>
      </c>
      <c r="E10" s="14">
        <f>[584]NºAsuntos!$E$28/Población!$M$10*1000</f>
        <v>93.987840464508167</v>
      </c>
      <c r="F10" s="14">
        <f>[584]NºAsuntos!$E$31/Población!$M$10*1000</f>
        <v>3.4201800565721641</v>
      </c>
      <c r="G10" s="14">
        <f>[584]NºAsuntos!$E$35/Población!$M$10*1000</f>
        <v>7.7451170467142907</v>
      </c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17" ht="20.100000000000001" customHeight="1" thickBot="1" x14ac:dyDescent="0.25">
      <c r="B11" s="9" t="s">
        <v>32</v>
      </c>
      <c r="C11" s="14">
        <f>[585]NºAsuntos!$E$36/Población!$M$11*1000</f>
        <v>191.86589091616011</v>
      </c>
      <c r="D11" s="14">
        <f>[585]NºAsuntos!$E$17/Población!$M$11*1000</f>
        <v>41.568107988772198</v>
      </c>
      <c r="E11" s="14">
        <f>[585]NºAsuntos!$E$28/Población!$M$11*1000</f>
        <v>141.56981418490099</v>
      </c>
      <c r="F11" s="14">
        <f>[585]NºAsuntos!$E$31/Población!$M$11*1000</f>
        <v>2.5639474553635826</v>
      </c>
      <c r="G11" s="14">
        <f>[585]NºAsuntos!$E$35/Población!$M$11*1000</f>
        <v>6.1640212871233375</v>
      </c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17" ht="20.100000000000001" customHeight="1" thickBot="1" x14ac:dyDescent="0.25">
      <c r="B12" s="9" t="s">
        <v>33</v>
      </c>
      <c r="C12" s="14">
        <f>[586]NºAsuntos!$E$36/Población!$M$12*1000</f>
        <v>211.54237435242928</v>
      </c>
      <c r="D12" s="14">
        <f>[586]NºAsuntos!$E$17/Población!$M$12*1000</f>
        <v>46.390322401642528</v>
      </c>
      <c r="E12" s="14">
        <f>[586]NºAsuntos!$E$28/Población!$M$12*1000</f>
        <v>152.05906499397426</v>
      </c>
      <c r="F12" s="14">
        <f>[586]NºAsuntos!$E$31/Población!$M$12*1000</f>
        <v>5.1350347671306551</v>
      </c>
      <c r="G12" s="14">
        <f>[586]NºAsuntos!$E$35/Población!$M$12*1000</f>
        <v>7.9579521896818388</v>
      </c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17" ht="20.100000000000001" customHeight="1" thickBot="1" x14ac:dyDescent="0.25">
      <c r="B13" s="9" t="s">
        <v>34</v>
      </c>
      <c r="C13" s="14">
        <f>[587]NºAsuntos!$E$36/Población!$M$13*1000</f>
        <v>149.45790926206118</v>
      </c>
      <c r="D13" s="14">
        <f>[587]NºAsuntos!$E$17/Población!$M$13*1000</f>
        <v>35.538973833666951</v>
      </c>
      <c r="E13" s="14">
        <f>[587]NºAsuntos!$E$28/Población!$M$13*1000</f>
        <v>99.725273864679366</v>
      </c>
      <c r="F13" s="14">
        <f>[587]NºAsuntos!$E$31/Población!$M$13*1000</f>
        <v>4.5234269031128314</v>
      </c>
      <c r="G13" s="14">
        <f>[587]NºAsuntos!$E$35/Población!$M$13*1000</f>
        <v>9.6702346606020164</v>
      </c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2:17" ht="20.100000000000001" customHeight="1" thickBot="1" x14ac:dyDescent="0.25">
      <c r="B14" s="9" t="s">
        <v>35</v>
      </c>
      <c r="C14" s="14">
        <f>[588]NºAsuntos!$E$36/Población!$M$14*1000</f>
        <v>157.43693636631787</v>
      </c>
      <c r="D14" s="14">
        <f>[588]NºAsuntos!$E$17/Población!$M$14*1000</f>
        <v>43.311662553502721</v>
      </c>
      <c r="E14" s="14">
        <f>[588]NºAsuntos!$E$28/Población!$M$14*1000</f>
        <v>99.610073907499583</v>
      </c>
      <c r="F14" s="14">
        <f>[588]NºAsuntos!$E$31/Población!$M$14*1000</f>
        <v>3.36018833328556</v>
      </c>
      <c r="G14" s="14">
        <f>[588]NºAsuntos!$E$35/Población!$M$14*1000</f>
        <v>11.155011572029991</v>
      </c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2:17" ht="20.100000000000001" customHeight="1" thickBot="1" x14ac:dyDescent="0.25">
      <c r="B15" s="9" t="s">
        <v>36</v>
      </c>
      <c r="C15" s="14">
        <f>[589]NºAsuntos!$E$36/Población!$M$15*1000</f>
        <v>130.40230683713176</v>
      </c>
      <c r="D15" s="14">
        <f>[589]NºAsuntos!$E$17/Población!$M$15*1000</f>
        <v>31.608995738373167</v>
      </c>
      <c r="E15" s="14">
        <f>[589]NºAsuntos!$E$28/Población!$M$15*1000</f>
        <v>93.77895126922364</v>
      </c>
      <c r="F15" s="14">
        <f>[589]NºAsuntos!$E$31/Población!$M$15*1000</f>
        <v>1.9513155456735223</v>
      </c>
      <c r="G15" s="14">
        <f>[589]NºAsuntos!$E$35/Población!$M$15*1000</f>
        <v>3.0630442838614043</v>
      </c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2:17" ht="20.100000000000001" customHeight="1" thickBot="1" x14ac:dyDescent="0.25">
      <c r="B16" s="9" t="s">
        <v>37</v>
      </c>
      <c r="C16" s="14">
        <f>[590]NºAsuntos!$E$36/Población!$M$16*1000</f>
        <v>146.07858819663909</v>
      </c>
      <c r="D16" s="14">
        <f>[590]NºAsuntos!$E$17/Población!$M$16*1000</f>
        <v>31.427208572733782</v>
      </c>
      <c r="E16" s="14">
        <f>[590]NºAsuntos!$E$28/Población!$M$16*1000</f>
        <v>107.17358316004272</v>
      </c>
      <c r="F16" s="14">
        <f>[590]NºAsuntos!$E$31/Población!$M$16*1000</f>
        <v>2.9023476735824394</v>
      </c>
      <c r="G16" s="14">
        <f>[590]NºAsuntos!$E$35/Población!$M$16*1000</f>
        <v>4.5754487902801619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2:17" ht="20.100000000000001" customHeight="1" thickBot="1" x14ac:dyDescent="0.25">
      <c r="B17" s="9" t="s">
        <v>29</v>
      </c>
      <c r="C17" s="14">
        <f>[591]NºAsuntos!$E$36/Población!$M$17*1000</f>
        <v>193.85615489518594</v>
      </c>
      <c r="D17" s="14">
        <f>[591]NºAsuntos!$E$17/Población!$M$17*1000</f>
        <v>45.386186859566948</v>
      </c>
      <c r="E17" s="14">
        <f>[591]NºAsuntos!$E$28/Población!$M$17*1000</f>
        <v>138.99025616423836</v>
      </c>
      <c r="F17" s="14">
        <f>[591]NºAsuntos!$E$31/Población!$M$17*1000</f>
        <v>2.5082785770370331</v>
      </c>
      <c r="G17" s="14">
        <f>[591]NºAsuntos!$E$35/Población!$M$17*1000</f>
        <v>6.9714332943436164</v>
      </c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20.100000000000001" customHeight="1" thickBot="1" x14ac:dyDescent="0.25">
      <c r="B18" s="9" t="s">
        <v>38</v>
      </c>
      <c r="C18" s="14">
        <f>[592]NºAsuntos!$E$36/Población!$M$18*1000</f>
        <v>178.70090587996344</v>
      </c>
      <c r="D18" s="14">
        <f>[592]NºAsuntos!$E$17/Población!$M$18*1000</f>
        <v>40.494662873643612</v>
      </c>
      <c r="E18" s="14">
        <f>[592]NºAsuntos!$E$28/Población!$M$18*1000</f>
        <v>127.59366399480277</v>
      </c>
      <c r="F18" s="14">
        <f>[592]NºAsuntos!$E$31/Población!$M$18*1000</f>
        <v>2.0392110902698612</v>
      </c>
      <c r="G18" s="14">
        <f>[592]NºAsuntos!$E$35/Población!$M$18*1000</f>
        <v>8.5733679212472058</v>
      </c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ht="20.100000000000001" customHeight="1" thickBot="1" x14ac:dyDescent="0.25">
      <c r="B19" s="9" t="s">
        <v>39</v>
      </c>
      <c r="C19" s="14">
        <f>[593]NºAsuntos!$E$36/Población!$M$19*1000</f>
        <v>130.66677510789327</v>
      </c>
      <c r="D19" s="14">
        <f>[593]NºAsuntos!$E$17/Población!$M$19*1000</f>
        <v>33.165710884153619</v>
      </c>
      <c r="E19" s="14">
        <f>[593]NºAsuntos!$E$28/Población!$M$19*1000</f>
        <v>86.9271794090876</v>
      </c>
      <c r="F19" s="14">
        <f>[593]NºAsuntos!$E$31/Población!$M$19*1000</f>
        <v>2.5022236219600402</v>
      </c>
      <c r="G19" s="14">
        <f>[593]NºAsuntos!$E$35/Población!$M$19*1000</f>
        <v>8.0716611926919839</v>
      </c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ht="20.100000000000001" customHeight="1" thickBot="1" x14ac:dyDescent="0.25">
      <c r="B20" s="9" t="s">
        <v>40</v>
      </c>
      <c r="C20" s="14">
        <f>[594]NºAsuntos!$E$36/Población!$M$20*1000</f>
        <v>149.40757126847097</v>
      </c>
      <c r="D20" s="14">
        <f>[594]NºAsuntos!$E$17/Población!$M$20*1000</f>
        <v>38.812001373593468</v>
      </c>
      <c r="E20" s="14">
        <f>[594]NºAsuntos!$E$28/Población!$M$20*1000</f>
        <v>99.447102010610749</v>
      </c>
      <c r="F20" s="14">
        <f>[594]NºAsuntos!$E$31/Población!$M$20*1000</f>
        <v>3.4446316719773624</v>
      </c>
      <c r="G20" s="14">
        <f>[594]NºAsuntos!$E$35/Población!$M$20*1000</f>
        <v>7.7038362122894029</v>
      </c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ht="20.100000000000001" customHeight="1" thickBot="1" x14ac:dyDescent="0.25">
      <c r="B21" s="9" t="s">
        <v>41</v>
      </c>
      <c r="C21" s="14">
        <f>[595]NºAsuntos!$E$36/Población!$M$21*1000</f>
        <v>117.85887937301118</v>
      </c>
      <c r="D21" s="14">
        <f>[595]NºAsuntos!$E$17/Población!$M$21*1000</f>
        <v>26.573850753166475</v>
      </c>
      <c r="E21" s="14">
        <f>[595]NºAsuntos!$E$28/Población!$M$21*1000</f>
        <v>85.255364114710446</v>
      </c>
      <c r="F21" s="14">
        <f>[595]NºAsuntos!$E$31/Población!$M$21*1000</f>
        <v>1.8702791698560102</v>
      </c>
      <c r="G21" s="14">
        <f>[595]NºAsuntos!$E$35/Población!$M$21*1000</f>
        <v>4.1593853352782313</v>
      </c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ht="20.100000000000001" customHeight="1" thickBot="1" x14ac:dyDescent="0.25">
      <c r="B22" s="9" t="s">
        <v>42</v>
      </c>
      <c r="C22" s="14">
        <f>[596]NºAsuntos!$E$36/Población!$M$22*1000</f>
        <v>195.53058698741233</v>
      </c>
      <c r="D22" s="14">
        <f>[596]NºAsuntos!$E$17/Población!$M$22*1000</f>
        <v>38.465033505720463</v>
      </c>
      <c r="E22" s="14">
        <f>[596]NºAsuntos!$E$28/Población!$M$22*1000</f>
        <v>144.59771020788583</v>
      </c>
      <c r="F22" s="14">
        <f>[596]NºAsuntos!$E$31/Población!$M$22*1000</f>
        <v>5.7120156587876822</v>
      </c>
      <c r="G22" s="14">
        <f>[596]NºAsuntos!$E$35/Población!$M$22*1000</f>
        <v>6.7558276150183465</v>
      </c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2:17" ht="20.100000000000001" customHeight="1" thickBot="1" x14ac:dyDescent="0.25">
      <c r="B23" s="9" t="s">
        <v>5</v>
      </c>
      <c r="C23" s="14">
        <f>[597]NºAsuntos!$E$36/Población!$M$23*1000</f>
        <v>184.6537215846345</v>
      </c>
      <c r="D23" s="14">
        <f>[597]NºAsuntos!$E$17/Población!$M$23*1000</f>
        <v>46.383452954793377</v>
      </c>
      <c r="E23" s="14">
        <f>[597]NºAsuntos!$E$28/Población!$M$23*1000</f>
        <v>125.83435757627871</v>
      </c>
      <c r="F23" s="14">
        <f>[597]NºAsuntos!$E$31/Población!$M$23*1000</f>
        <v>3.9907539945474864</v>
      </c>
      <c r="G23" s="14">
        <f>[597]NºAsuntos!$E$35/Población!$M$23*1000</f>
        <v>8.4451570590149387</v>
      </c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2:17" ht="20.100000000000001" customHeight="1" thickBot="1" x14ac:dyDescent="0.25">
      <c r="B24" s="9" t="s">
        <v>43</v>
      </c>
      <c r="C24" s="14">
        <f>[598]NºAsuntos!$E$36/Población!$M$24*1000</f>
        <v>182.1561891902625</v>
      </c>
      <c r="D24" s="14">
        <f>[598]NºAsuntos!$E$17/Población!$M$24*1000</f>
        <v>40.758243649312313</v>
      </c>
      <c r="E24" s="14">
        <f>[598]NºAsuntos!$E$28/Población!$M$24*1000</f>
        <v>130.45219279086083</v>
      </c>
      <c r="F24" s="14">
        <f>[598]NºAsuntos!$E$31/Población!$M$24*1000</f>
        <v>2.860953364309069</v>
      </c>
      <c r="G24" s="14">
        <f>[598]NºAsuntos!$E$35/Población!$M$24*1000</f>
        <v>8.0847993857802845</v>
      </c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17" ht="20.100000000000001" customHeight="1" thickBot="1" x14ac:dyDescent="0.25">
      <c r="B25" s="9" t="s">
        <v>44</v>
      </c>
      <c r="C25" s="14">
        <f>[599]NºAsuntos!$E$36/Población!$M$25*1000</f>
        <v>145.56514358466544</v>
      </c>
      <c r="D25" s="14">
        <f>[599]NºAsuntos!$E$17/Población!$M$25*1000</f>
        <v>31.093506860942142</v>
      </c>
      <c r="E25" s="14">
        <f>[599]NºAsuntos!$E$28/Población!$M$25*1000</f>
        <v>105.18036497382938</v>
      </c>
      <c r="F25" s="14">
        <f>[599]NºAsuntos!$E$31/Población!$M$25*1000</f>
        <v>2.3143301739991515</v>
      </c>
      <c r="G25" s="14">
        <f>[599]NºAsuntos!$E$35/Población!$M$25*1000</f>
        <v>6.9769415758947515</v>
      </c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2:17" ht="20.100000000000001" customHeight="1" thickBot="1" x14ac:dyDescent="0.25">
      <c r="B26" s="9" t="s">
        <v>45</v>
      </c>
      <c r="C26" s="14">
        <f>[600]NºAsuntos!$E$36/Población!$M$26*1000</f>
        <v>176.75468476417029</v>
      </c>
      <c r="D26" s="14">
        <f>[600]NºAsuntos!$E$17/Población!$M$26*1000</f>
        <v>36.018797379683988</v>
      </c>
      <c r="E26" s="14">
        <f>[600]NºAsuntos!$E$28/Población!$M$26*1000</f>
        <v>128.88266776859913</v>
      </c>
      <c r="F26" s="14">
        <f>[600]NºAsuntos!$E$31/Población!$M$26*1000</f>
        <v>4.3320340953792051</v>
      </c>
      <c r="G26" s="14">
        <f>[600]NºAsuntos!$E$35/Población!$M$26*1000</f>
        <v>7.5211855205079807</v>
      </c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2:17" ht="20.100000000000001" customHeight="1" thickBot="1" x14ac:dyDescent="0.25">
      <c r="B27" s="9" t="s">
        <v>46</v>
      </c>
      <c r="C27" s="14">
        <f>[601]NºAsuntos!$E$36/Población!$M$27*1000</f>
        <v>166.13373968289392</v>
      </c>
      <c r="D27" s="14">
        <f>[601]NºAsuntos!$E$17/Población!$M$27*1000</f>
        <v>38.440482458740291</v>
      </c>
      <c r="E27" s="14">
        <f>[601]NºAsuntos!$E$28/Población!$M$27*1000</f>
        <v>114.42442142261865</v>
      </c>
      <c r="F27" s="14">
        <f>[601]NºAsuntos!$E$31/Población!$M$27*1000</f>
        <v>3.4843661190943611</v>
      </c>
      <c r="G27" s="14">
        <f>[601]NºAsuntos!$E$35/Población!$M$27*1000</f>
        <v>9.7844696824406086</v>
      </c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2:17" ht="20.100000000000001" customHeight="1" thickBot="1" x14ac:dyDescent="0.25">
      <c r="B28" s="9" t="s">
        <v>47</v>
      </c>
      <c r="C28" s="14">
        <f>[602]NºAsuntos!$E$36/Población!$M$28*1000</f>
        <v>139.87989303543884</v>
      </c>
      <c r="D28" s="14">
        <f>[602]NºAsuntos!$E$17/Población!$M$28*1000</f>
        <v>25.769150033312343</v>
      </c>
      <c r="E28" s="14">
        <f>[602]NºAsuntos!$E$28/Población!$M$28*1000</f>
        <v>104.9749472934863</v>
      </c>
      <c r="F28" s="14">
        <f>[602]NºAsuntos!$E$31/Población!$M$28*1000</f>
        <v>2.9798574414296013</v>
      </c>
      <c r="G28" s="14">
        <f>[602]NºAsuntos!$E$35/Población!$M$28*1000</f>
        <v>6.1559382672106162</v>
      </c>
    </row>
    <row r="29" spans="2:17" ht="20.100000000000001" customHeight="1" thickBot="1" x14ac:dyDescent="0.25">
      <c r="B29" s="9" t="s">
        <v>48</v>
      </c>
      <c r="C29" s="14">
        <f>[603]NºAsuntos!$E$36/Población!$M$10*1000</f>
        <v>210.92518853245443</v>
      </c>
      <c r="D29" s="14">
        <f>[603]NºAsuntos!$E$17/Población!$M$10*1000</f>
        <v>49.209829040709096</v>
      </c>
      <c r="E29" s="14">
        <f>[603]NºAsuntos!$E$28/Población!$M$10*1000</f>
        <v>145.77026133556043</v>
      </c>
      <c r="F29" s="14">
        <f>[603]NºAsuntos!$E$31/Población!$M$10*1000</f>
        <v>4.2279987472596305</v>
      </c>
      <c r="G29" s="14">
        <f>[603]NºAsuntos!$E$35/Población!$M$10*1000</f>
        <v>11.717099408925277</v>
      </c>
    </row>
    <row r="30" spans="2:17" ht="20.100000000000001" customHeight="1" thickBot="1" x14ac:dyDescent="0.25">
      <c r="B30" s="9" t="s">
        <v>49</v>
      </c>
      <c r="C30" s="14">
        <f>[604]NºAsuntos!$E$36/Población!$M$30*1000</f>
        <v>175.07828913465733</v>
      </c>
      <c r="D30" s="14">
        <f>[604]NºAsuntos!$E$17/Población!$M$30*1000</f>
        <v>38.358372643067618</v>
      </c>
      <c r="E30" s="14">
        <f>[604]NºAsuntos!$E$28/Población!$M$30*1000</f>
        <v>128.84739895085954</v>
      </c>
      <c r="F30" s="14">
        <f>[604]NºAsuntos!$E$31/Población!$M$30*1000</f>
        <v>2.077139572680065</v>
      </c>
      <c r="G30" s="14">
        <f>[604]NºAsuntos!$E$35/Población!$M$30*1000</f>
        <v>5.7953779680501052</v>
      </c>
    </row>
    <row r="31" spans="2:17" ht="20.100000000000001" customHeight="1" thickBot="1" x14ac:dyDescent="0.25">
      <c r="B31" s="9" t="s">
        <v>50</v>
      </c>
      <c r="C31" s="14">
        <f>[605]NºAsuntos!$E$36/Población!$M$31*1000</f>
        <v>245.69682548266724</v>
      </c>
      <c r="D31" s="14">
        <f>[605]NºAsuntos!$E$17/Población!$M$31*1000</f>
        <v>41.824671461792221</v>
      </c>
      <c r="E31" s="14">
        <f>[605]NºAsuntos!$E$28/Población!$M$31*1000</f>
        <v>189.04980801470987</v>
      </c>
      <c r="F31" s="14">
        <f>[605]NºAsuntos!$E$31/Población!$M$31*1000</f>
        <v>5.1982045319344543</v>
      </c>
      <c r="G31" s="14">
        <f>[605]NºAsuntos!$E$35/Población!$M$31*1000</f>
        <v>9.6241414742307061</v>
      </c>
    </row>
    <row r="32" spans="2:17" ht="20.100000000000001" customHeight="1" thickBot="1" x14ac:dyDescent="0.25">
      <c r="B32" s="9" t="s">
        <v>51</v>
      </c>
      <c r="C32" s="14">
        <f>[606]NºAsuntos!$E$36/Población!$M$32*1000</f>
        <v>166.55553865889942</v>
      </c>
      <c r="D32" s="14">
        <f>[606]NºAsuntos!$E$17/Población!$M$32*1000</f>
        <v>35.896296122997256</v>
      </c>
      <c r="E32" s="14">
        <f>[606]NºAsuntos!$E$28/Población!$M$32*1000</f>
        <v>117.03143947812727</v>
      </c>
      <c r="F32" s="14">
        <f>[606]NºAsuntos!$E$31/Población!$M$32*1000</f>
        <v>5.0144076487263165</v>
      </c>
      <c r="G32" s="14">
        <f>[606]NºAsuntos!$E$35/Población!$M$32*1000</f>
        <v>8.6133954090485503</v>
      </c>
    </row>
    <row r="33" spans="2:7" ht="20.100000000000001" customHeight="1" thickBot="1" x14ac:dyDescent="0.25">
      <c r="B33" s="9" t="s">
        <v>52</v>
      </c>
      <c r="C33" s="14">
        <f>[607]NºAsuntos!$E$36/Población!$M$33*1000</f>
        <v>185.87154768108391</v>
      </c>
      <c r="D33" s="14">
        <f>[607]NºAsuntos!$E$17/Población!$M$33*1000</f>
        <v>36.38345645710082</v>
      </c>
      <c r="E33" s="14">
        <f>[607]NºAsuntos!$E$28/Población!$M$33*1000</f>
        <v>135.47382215001684</v>
      </c>
      <c r="F33" s="14">
        <f>[607]NºAsuntos!$E$31/Población!$M$33*1000</f>
        <v>6.331805781197315</v>
      </c>
      <c r="G33" s="14">
        <f>[607]NºAsuntos!$E$35/Población!$M$33*1000</f>
        <v>7.6824632927689054</v>
      </c>
    </row>
    <row r="34" spans="2:7" ht="20.100000000000001" customHeight="1" thickBot="1" x14ac:dyDescent="0.25">
      <c r="B34" s="9" t="s">
        <v>53</v>
      </c>
      <c r="C34" s="14">
        <f>[608]NºAsuntos!$E$36/Población!$M$34*1000</f>
        <v>136.24918440539321</v>
      </c>
      <c r="D34" s="14">
        <f>[608]NºAsuntos!$E$17/Población!$M$34*1000</f>
        <v>35.119832195514995</v>
      </c>
      <c r="E34" s="14">
        <f>[608]NºAsuntos!$E$28/Población!$M$34*1000</f>
        <v>94.565184072586817</v>
      </c>
      <c r="F34" s="14">
        <f>[608]NºAsuntos!$E$31/Población!$M$34*1000</f>
        <v>2.636176930386537</v>
      </c>
      <c r="G34" s="14">
        <f>[608]NºAsuntos!$E$35/Población!$M$34*1000</f>
        <v>3.9279912069048564</v>
      </c>
    </row>
    <row r="35" spans="2:7" ht="20.100000000000001" customHeight="1" thickBot="1" x14ac:dyDescent="0.25">
      <c r="B35" s="9" t="s">
        <v>54</v>
      </c>
      <c r="C35" s="14">
        <f>[609]NºAsuntos!$E$36/Población!$M$35*1000</f>
        <v>161.66567253206085</v>
      </c>
      <c r="D35" s="14">
        <f>[609]NºAsuntos!$E$17/Población!$M$35*1000</f>
        <v>33.116611989263347</v>
      </c>
      <c r="E35" s="14">
        <f>[609]NºAsuntos!$E$28/Población!$M$35*1000</f>
        <v>119.19773337309871</v>
      </c>
      <c r="F35" s="14">
        <f>[609]NºAsuntos!$E$31/Población!$M$35*1000</f>
        <v>4.3289591410677</v>
      </c>
      <c r="G35" s="14">
        <f>[609]NºAsuntos!$E$35/Población!$M$35*1000</f>
        <v>5.0223680286310772</v>
      </c>
    </row>
    <row r="36" spans="2:7" ht="20.100000000000001" customHeight="1" thickBot="1" x14ac:dyDescent="0.25">
      <c r="B36" s="9" t="s">
        <v>55</v>
      </c>
      <c r="C36" s="14">
        <f>[610]NºAsuntos!$E$36/Población!$M$36*1000</f>
        <v>157.74238196541174</v>
      </c>
      <c r="D36" s="14">
        <f>[610]NºAsuntos!$E$17/Población!$M$36*1000</f>
        <v>39.68268317132015</v>
      </c>
      <c r="E36" s="14">
        <f>[610]NºAsuntos!$E$28/Población!$M$36*1000</f>
        <v>104.75914977731976</v>
      </c>
      <c r="F36" s="14">
        <f>[610]NºAsuntos!$E$31/Población!$M$36*1000</f>
        <v>3.4833336346597723</v>
      </c>
      <c r="G36" s="14">
        <f>[610]NºAsuntos!$E$35/Población!$M$36*1000</f>
        <v>9.8172153821120585</v>
      </c>
    </row>
    <row r="37" spans="2:7" ht="20.100000000000001" customHeight="1" thickBot="1" x14ac:dyDescent="0.25">
      <c r="B37" s="9" t="s">
        <v>56</v>
      </c>
      <c r="C37" s="14">
        <f>[611]NºAsuntos!$E$36/Población!$M$37*1000</f>
        <v>132.43938612912271</v>
      </c>
      <c r="D37" s="14">
        <f>[611]NºAsuntos!$E$17/Población!$M$37*1000</f>
        <v>35.599627408954845</v>
      </c>
      <c r="E37" s="14">
        <f>[611]NºAsuntos!$E$28/Población!$M$37*1000</f>
        <v>91.219240890962851</v>
      </c>
      <c r="F37" s="14">
        <f>[611]NºAsuntos!$E$31/Población!$M$37*1000</f>
        <v>1.7046944662995016</v>
      </c>
      <c r="G37" s="14">
        <f>[611]NºAsuntos!$E$35/Población!$M$37*1000</f>
        <v>3.9158233629054866</v>
      </c>
    </row>
    <row r="38" spans="2:7" ht="20.100000000000001" customHeight="1" thickBot="1" x14ac:dyDescent="0.25">
      <c r="B38" s="9" t="s">
        <v>57</v>
      </c>
      <c r="C38" s="14">
        <f>[612]NºAsuntos!$E$36/Población!$M$38*1000</f>
        <v>130.60051773675076</v>
      </c>
      <c r="D38" s="14">
        <f>[612]NºAsuntos!$E$17/Población!$M$38*1000</f>
        <v>36.708104571444828</v>
      </c>
      <c r="E38" s="14">
        <f>[612]NºAsuntos!$E$28/Población!$M$38*1000</f>
        <v>82.303075128723009</v>
      </c>
      <c r="F38" s="14">
        <f>[612]NºAsuntos!$E$31/Población!$M$38*1000</f>
        <v>3.2002958495718712</v>
      </c>
      <c r="G38" s="14">
        <f>[612]NºAsuntos!$E$35/Población!$M$38*1000</f>
        <v>8.3890421870110661</v>
      </c>
    </row>
    <row r="39" spans="2:7" ht="20.100000000000001" customHeight="1" thickBot="1" x14ac:dyDescent="0.25">
      <c r="B39" s="9" t="s">
        <v>58</v>
      </c>
      <c r="C39" s="14">
        <f>[613]NºAsuntos!$E$36/Población!$M$39*1000</f>
        <v>210.6020635840288</v>
      </c>
      <c r="D39" s="14">
        <f>[613]NºAsuntos!$E$17/Población!$M$39*1000</f>
        <v>40.212152217058467</v>
      </c>
      <c r="E39" s="14">
        <f>[613]NºAsuntos!$E$28/Población!$M$39*1000</f>
        <v>155.56360251969281</v>
      </c>
      <c r="F39" s="14">
        <f>[613]NºAsuntos!$E$31/Población!$M$39*1000</f>
        <v>6.1240307688514681</v>
      </c>
      <c r="G39" s="14">
        <f>[613]NºAsuntos!$E$35/Población!$M$39*1000</f>
        <v>8.7022780784260547</v>
      </c>
    </row>
    <row r="40" spans="2:7" ht="20.100000000000001" customHeight="1" thickBot="1" x14ac:dyDescent="0.25">
      <c r="B40" s="9" t="s">
        <v>59</v>
      </c>
      <c r="C40" s="14">
        <f>[614]NºAsuntos!$E$36/Población!$M$40*1000</f>
        <v>280.55691042158855</v>
      </c>
      <c r="D40" s="14">
        <f>[614]NºAsuntos!$E$17/Población!$M$40*1000</f>
        <v>49.8386359680335</v>
      </c>
      <c r="E40" s="14">
        <f>[614]NºAsuntos!$E$28/Población!$M$40*1000</f>
        <v>216.61652808078597</v>
      </c>
      <c r="F40" s="14">
        <f>[614]NºAsuntos!$E$31/Población!$M$40*1000</f>
        <v>4.7907926243075059</v>
      </c>
      <c r="G40" s="14">
        <f>[614]NºAsuntos!$E$35/Población!$M$40*1000</f>
        <v>9.3109537484615519</v>
      </c>
    </row>
    <row r="41" spans="2:7" ht="20.100000000000001" customHeight="1" thickBot="1" x14ac:dyDescent="0.25">
      <c r="B41" s="9" t="s">
        <v>60</v>
      </c>
      <c r="C41" s="14">
        <f>[615]NºAsuntos!$E$36/Población!$M$41*1000</f>
        <v>192.55490728666479</v>
      </c>
      <c r="D41" s="14">
        <f>[615]NºAsuntos!$E$17/Población!$M$41*1000</f>
        <v>42.231351045427118</v>
      </c>
      <c r="E41" s="14">
        <f>[615]NºAsuntos!$E$28/Población!$M$41*1000</f>
        <v>137.19968246388433</v>
      </c>
      <c r="F41" s="14">
        <f>[615]NºAsuntos!$E$31/Población!$M$41*1000</f>
        <v>5.190232567314867</v>
      </c>
      <c r="G41" s="14">
        <f>[615]NºAsuntos!$E$35/Población!$M$41*1000</f>
        <v>7.9336412100384397</v>
      </c>
    </row>
    <row r="42" spans="2:7" ht="20.100000000000001" customHeight="1" thickBot="1" x14ac:dyDescent="0.25">
      <c r="B42" s="9" t="s">
        <v>61</v>
      </c>
      <c r="C42" s="14">
        <f>[616]NºAsuntos!$E$36/Población!$M$42*1000</f>
        <v>137.09035575055563</v>
      </c>
      <c r="D42" s="14">
        <f>[616]NºAsuntos!$E$17/Población!$M$42*1000</f>
        <v>29.656522612689646</v>
      </c>
      <c r="E42" s="14">
        <f>[616]NºAsuntos!$E$28/Población!$M$42*1000</f>
        <v>97.959507889560172</v>
      </c>
      <c r="F42" s="14">
        <f>[616]NºAsuntos!$E$31/Población!$M$42*1000</f>
        <v>3.5090670367307268</v>
      </c>
      <c r="G42" s="14">
        <f>[616]NºAsuntos!$E$35/Población!$M$42*1000</f>
        <v>5.965258211575093</v>
      </c>
    </row>
    <row r="43" spans="2:7" ht="20.100000000000001" customHeight="1" thickBot="1" x14ac:dyDescent="0.25">
      <c r="B43" s="9" t="s">
        <v>62</v>
      </c>
      <c r="C43" s="14">
        <f>[617]NºAsuntos!$E$36/Población!$M$43*1000</f>
        <v>137.44947592998795</v>
      </c>
      <c r="D43" s="14">
        <f>[617]NºAsuntos!$E$17/Población!$M$43*1000</f>
        <v>32.443429545365888</v>
      </c>
      <c r="E43" s="14">
        <f>[617]NºAsuntos!$E$28/Población!$M$43*1000</f>
        <v>91.812024953714399</v>
      </c>
      <c r="F43" s="14">
        <f>[617]NºAsuntos!$E$31/Población!$M$43*1000</f>
        <v>2.877658983907315</v>
      </c>
      <c r="G43" s="14">
        <f>[617]NºAsuntos!$E$35/Población!$M$43*1000</f>
        <v>10.316362447000364</v>
      </c>
    </row>
    <row r="44" spans="2:7" ht="20.100000000000001" customHeight="1" thickBot="1" x14ac:dyDescent="0.25">
      <c r="B44" s="9" t="s">
        <v>63</v>
      </c>
      <c r="C44" s="14">
        <f>[618]NºAsuntos!$E$36/Población!$M$44*1000</f>
        <v>163.9501829112007</v>
      </c>
      <c r="D44" s="14">
        <f>[618]NºAsuntos!$E$17/Población!$M$44*1000</f>
        <v>37.10650791061817</v>
      </c>
      <c r="E44" s="14">
        <f>[618]NºAsuntos!$E$28/Población!$M$44*1000</f>
        <v>115.46123913600671</v>
      </c>
      <c r="F44" s="14">
        <f>[618]NºAsuntos!$E$31/Población!$M$44*1000</f>
        <v>2.7844443926649114</v>
      </c>
      <c r="G44" s="14">
        <f>[618]NºAsuntos!$E$35/Población!$M$44*1000</f>
        <v>8.5979914719108983</v>
      </c>
    </row>
    <row r="45" spans="2:7" ht="20.100000000000001" customHeight="1" thickBot="1" x14ac:dyDescent="0.25">
      <c r="B45" s="9" t="s">
        <v>64</v>
      </c>
      <c r="C45" s="14">
        <f>[619]NºAsuntos!$E$36/Población!$M$45*1000</f>
        <v>212.21170850881509</v>
      </c>
      <c r="D45" s="14">
        <f>[619]NºAsuntos!$E$17/Población!$M$45*1000</f>
        <v>48.321756094003533</v>
      </c>
      <c r="E45" s="14">
        <f>[619]NºAsuntos!$E$28/Población!$M$45*1000</f>
        <v>147.51773049645388</v>
      </c>
      <c r="F45" s="14">
        <f>[619]NºAsuntos!$E$31/Población!$M$45*1000</f>
        <v>3.2425386059909935</v>
      </c>
      <c r="G45" s="14">
        <f>[619]NºAsuntos!$E$35/Población!$M$45*1000</f>
        <v>13.129683312366678</v>
      </c>
    </row>
    <row r="46" spans="2:7" ht="20.100000000000001" customHeight="1" thickBot="1" x14ac:dyDescent="0.25">
      <c r="B46" s="9" t="s">
        <v>65</v>
      </c>
      <c r="C46" s="14">
        <f>[620]NºAsuntos!$E$36/Población!$M$46*1000</f>
        <v>203.36560765782644</v>
      </c>
      <c r="D46" s="14">
        <f>[620]NºAsuntos!$E$17/Población!$M$46*1000</f>
        <v>44.723931537885917</v>
      </c>
      <c r="E46" s="14">
        <f>[620]NºAsuntos!$E$28/Población!$M$46*1000</f>
        <v>145.90388693019594</v>
      </c>
      <c r="F46" s="14">
        <f>[620]NºAsuntos!$E$31/Población!$M$46*1000</f>
        <v>2.7327140011893998</v>
      </c>
      <c r="G46" s="14">
        <f>[620]NºAsuntos!$E$35/Población!$M$46*1000</f>
        <v>10.005075188555191</v>
      </c>
    </row>
    <row r="47" spans="2:7" ht="20.100000000000001" customHeight="1" thickBot="1" x14ac:dyDescent="0.25">
      <c r="B47" s="9" t="s">
        <v>30</v>
      </c>
      <c r="C47" s="14">
        <f>[621]NºAsuntos!$E$36/Población!$M$47*1000</f>
        <v>125.12579151894226</v>
      </c>
      <c r="D47" s="14">
        <f>[621]NºAsuntos!$E$17/Población!$M$47*1000</f>
        <v>36.83485315291604</v>
      </c>
      <c r="E47" s="14">
        <f>[621]NºAsuntos!$E$28/Población!$M$47*1000</f>
        <v>75.738105928070468</v>
      </c>
      <c r="F47" s="14">
        <f>[621]NºAsuntos!$E$31/Población!$M$47*1000</f>
        <v>4.6910560294777905</v>
      </c>
      <c r="G47" s="14">
        <f>[621]NºAsuntos!$E$35/Población!$M$47*1000</f>
        <v>7.8617764084779607</v>
      </c>
    </row>
    <row r="48" spans="2:7" ht="20.100000000000001" customHeight="1" thickBot="1" x14ac:dyDescent="0.25">
      <c r="B48" s="9" t="s">
        <v>66</v>
      </c>
      <c r="C48" s="14">
        <f>[622]NºAsuntos!$E$36/Población!$M$48*1000</f>
        <v>148.66595275733314</v>
      </c>
      <c r="D48" s="14">
        <f>[622]NºAsuntos!$E$17/Población!$M$48*1000</f>
        <v>36.412208982792514</v>
      </c>
      <c r="E48" s="14">
        <f>[622]NºAsuntos!$E$28/Población!$M$48*1000</f>
        <v>102.36100015298057</v>
      </c>
      <c r="F48" s="14">
        <f>[622]NºAsuntos!$E$31/Población!$M$48*1000</f>
        <v>3.2919152600953012</v>
      </c>
      <c r="G48" s="14">
        <f>[622]NºAsuntos!$E$35/Población!$M$48*1000</f>
        <v>6.6008283614647603</v>
      </c>
    </row>
    <row r="49" spans="2:7" ht="20.100000000000001" customHeight="1" thickBot="1" x14ac:dyDescent="0.25">
      <c r="B49" s="9" t="s">
        <v>67</v>
      </c>
      <c r="C49" s="14">
        <f>[623]NºAsuntos!$E$36/Población!$M$49*1000</f>
        <v>181.36433774297453</v>
      </c>
      <c r="D49" s="14">
        <f>[623]NºAsuntos!$E$17/Población!$M$49*1000</f>
        <v>41.574536142840913</v>
      </c>
      <c r="E49" s="14">
        <f>[623]NºAsuntos!$E$28/Población!$M$49*1000</f>
        <v>129.9771118161099</v>
      </c>
      <c r="F49" s="14">
        <f>[623]NºAsuntos!$E$31/Población!$M$49*1000</f>
        <v>2.4461321688229338</v>
      </c>
      <c r="G49" s="14">
        <f>[623]NºAsuntos!$E$35/Población!$M$49*1000</f>
        <v>7.3665576152007839</v>
      </c>
    </row>
    <row r="50" spans="2:7" ht="20.100000000000001" customHeight="1" thickBot="1" x14ac:dyDescent="0.25">
      <c r="B50" s="9" t="s">
        <v>68</v>
      </c>
      <c r="C50" s="14">
        <f>[624]NºAsuntos!$E$36/Población!$M$50*1000</f>
        <v>141.54925716791843</v>
      </c>
      <c r="D50" s="14">
        <f>[624]NºAsuntos!$E$17/Población!$M$50*1000</f>
        <v>34.184285705583875</v>
      </c>
      <c r="E50" s="14">
        <f>[624]NºAsuntos!$E$28/Población!$M$50*1000</f>
        <v>98.928543147610085</v>
      </c>
      <c r="F50" s="14">
        <f>[624]NºAsuntos!$E$31/Población!$M$50*1000</f>
        <v>3.1126461146745124</v>
      </c>
      <c r="G50" s="14">
        <f>[624]NºAsuntos!$E$35/Población!$M$50*1000</f>
        <v>5.3237822000499486</v>
      </c>
    </row>
    <row r="51" spans="2:7" ht="20.100000000000001" customHeight="1" thickBot="1" x14ac:dyDescent="0.25">
      <c r="B51" s="9" t="s">
        <v>69</v>
      </c>
      <c r="C51" s="14">
        <f>[625]NºAsuntos!$E$36/Población!$M$51*1000</f>
        <v>218.32674775345498</v>
      </c>
      <c r="D51" s="14">
        <f>[625]NºAsuntos!$E$17/Población!$M$51*1000</f>
        <v>38.881014763380513</v>
      </c>
      <c r="E51" s="14">
        <f>[625]NºAsuntos!$E$28/Población!$M$51*1000</f>
        <v>165.90269792769374</v>
      </c>
      <c r="F51" s="14">
        <f>[625]NºAsuntos!$E$31/Población!$M$51*1000</f>
        <v>5.497775487542004</v>
      </c>
      <c r="G51" s="14">
        <f>[625]NºAsuntos!$E$35/Población!$M$51*1000</f>
        <v>8.0452595748386955</v>
      </c>
    </row>
    <row r="52" spans="2:7" ht="20.100000000000001" customHeight="1" thickBot="1" x14ac:dyDescent="0.25">
      <c r="B52" s="9" t="s">
        <v>70</v>
      </c>
      <c r="C52" s="14">
        <f>[626]NºAsuntos!$E$36/Población!$M$52*1000</f>
        <v>144.78644865211135</v>
      </c>
      <c r="D52" s="14">
        <f>[626]NºAsuntos!$E$17/Población!$M$52*1000</f>
        <v>34.088403011877382</v>
      </c>
      <c r="E52" s="14">
        <f>[626]NºAsuntos!$E$28/Población!$M$52*1000</f>
        <v>98.894174726694175</v>
      </c>
      <c r="F52" s="14">
        <f>[626]NºAsuntos!$E$31/Población!$M$52*1000</f>
        <v>6.395513688919694</v>
      </c>
      <c r="G52" s="14">
        <f>[626]NºAsuntos!$E$35/Población!$M$52*1000</f>
        <v>5.4083572246201017</v>
      </c>
    </row>
    <row r="53" spans="2:7" ht="20.100000000000001" customHeight="1" thickBot="1" x14ac:dyDescent="0.25">
      <c r="B53" s="9" t="s">
        <v>71</v>
      </c>
      <c r="C53" s="14">
        <f>[627]NºAsuntos!$E$36/Población!$M$53*1000</f>
        <v>203.23120134187658</v>
      </c>
      <c r="D53" s="14">
        <f>[627]NºAsuntos!$E$17/Población!$M$53*1000</f>
        <v>41.035197146663606</v>
      </c>
      <c r="E53" s="14">
        <f>[627]NºAsuntos!$E$28/Población!$M$53*1000</f>
        <v>154.16544963587671</v>
      </c>
      <c r="F53" s="14">
        <f>[627]NºAsuntos!$E$31/Población!$M$53*1000</f>
        <v>1.6588591830673118</v>
      </c>
      <c r="G53" s="14">
        <f>[627]NºAsuntos!$E$35/Población!$M$53*1000</f>
        <v>6.3716953762689474</v>
      </c>
    </row>
    <row r="54" spans="2:7" ht="20.100000000000001" customHeight="1" thickBot="1" x14ac:dyDescent="0.25">
      <c r="B54" s="9" t="s">
        <v>72</v>
      </c>
      <c r="C54" s="14">
        <f>[628]NºAsuntos!$E$36/Población!$M$54*1000</f>
        <v>95.451810769879742</v>
      </c>
      <c r="D54" s="14">
        <f>[628]NºAsuntos!$E$17/Población!$M$54*1000</f>
        <v>21.278361351801781</v>
      </c>
      <c r="E54" s="14">
        <f>[628]NºAsuntos!$E$28/Población!$M$54*1000</f>
        <v>68.053413735158045</v>
      </c>
      <c r="F54" s="14">
        <f>[628]NºAsuntos!$E$31/Población!$M$54*1000</f>
        <v>2.0261813051926945</v>
      </c>
      <c r="G54" s="14">
        <f>[628]NºAsuntos!$E$35/Población!$M$54*1000</f>
        <v>4.0938543777272196</v>
      </c>
    </row>
    <row r="55" spans="2:7" ht="20.100000000000001" customHeight="1" thickBot="1" x14ac:dyDescent="0.25">
      <c r="B55" s="9" t="s">
        <v>73</v>
      </c>
      <c r="C55" s="14">
        <f>[629]NºAsuntos!$E$36/Población!$M$55*1000</f>
        <v>140.69158788646601</v>
      </c>
      <c r="D55" s="14">
        <f>[629]NºAsuntos!$E$17/Población!$M$55*1000</f>
        <v>30.440782645827031</v>
      </c>
      <c r="E55" s="14">
        <f>[629]NºAsuntos!$E$28/Población!$M$55*1000</f>
        <v>101.54232921687344</v>
      </c>
      <c r="F55" s="14">
        <f>[629]NºAsuntos!$E$31/Población!$M$55*1000</f>
        <v>2.7034593533755062</v>
      </c>
      <c r="G55" s="14">
        <f>[629]NºAsuntos!$E$35/Población!$M$55*1000</f>
        <v>6.0050166703900505</v>
      </c>
    </row>
    <row r="56" spans="2:7" ht="20.100000000000001" customHeight="1" thickBot="1" x14ac:dyDescent="0.25">
      <c r="B56" s="9" t="s">
        <v>74</v>
      </c>
      <c r="C56" s="14">
        <f>[630]NºAsuntos!$E$36/Población!$M$56*1000</f>
        <v>197.52753208085099</v>
      </c>
      <c r="D56" s="14">
        <f>[630]NºAsuntos!$E$17/Población!$M$56*1000</f>
        <v>44.601602578644673</v>
      </c>
      <c r="E56" s="14">
        <f>[630]NºAsuntos!$E$28/Población!$M$56*1000</f>
        <v>140.99713850171344</v>
      </c>
      <c r="F56" s="14">
        <f>[630]NºAsuntos!$E$31/Población!$M$56*1000</f>
        <v>3.1934460482123099</v>
      </c>
      <c r="G56" s="14">
        <f>[630]NºAsuntos!$E$35/Población!$M$56*1000</f>
        <v>8.7353449522805704</v>
      </c>
    </row>
    <row r="57" spans="2:7" ht="20.100000000000001" customHeight="1" thickBot="1" x14ac:dyDescent="0.25">
      <c r="B57" s="9" t="s">
        <v>75</v>
      </c>
      <c r="C57" s="14">
        <f>[631]NºAsuntos!$E$36/Población!$M$57*1000</f>
        <v>153.98392892531697</v>
      </c>
      <c r="D57" s="14">
        <f>[631]NºAsuntos!$E$17/Población!$M$57*1000</f>
        <v>40.594607328081004</v>
      </c>
      <c r="E57" s="14">
        <f>[631]NºAsuntos!$E$28/Población!$M$57*1000</f>
        <v>101.42762594554979</v>
      </c>
      <c r="F57" s="14">
        <f>[631]NºAsuntos!$E$31/Población!$M$57*1000</f>
        <v>4.0813350433933975</v>
      </c>
      <c r="G57" s="14">
        <f>[631]NºAsuntos!$E$35/Población!$M$57*1000</f>
        <v>7.8803606082927944</v>
      </c>
    </row>
    <row r="58" spans="2:7" ht="20.100000000000001" customHeight="1" thickBot="1" x14ac:dyDescent="0.25">
      <c r="B58" s="9" t="s">
        <v>76</v>
      </c>
      <c r="C58" s="14">
        <f>[632]NºAsuntos!$E$36/Población!$M$58*1000</f>
        <v>149.21166803700427</v>
      </c>
      <c r="D58" s="14">
        <f>[632]NºAsuntos!$E$17/Población!$M$58*1000</f>
        <v>34.729009271756048</v>
      </c>
      <c r="E58" s="14">
        <f>[632]NºAsuntos!$E$28/Población!$M$58*1000</f>
        <v>104.60588572935573</v>
      </c>
      <c r="F58" s="14">
        <f>[632]NºAsuntos!$E$31/Población!$M$58*1000</f>
        <v>2.7665306671217222</v>
      </c>
      <c r="G58" s="14">
        <f>[632]NºAsuntos!$E$35/Población!$M$58*1000</f>
        <v>7.1102423687707814</v>
      </c>
    </row>
    <row r="59" spans="2:7" ht="20.100000000000001" customHeight="1" thickBot="1" x14ac:dyDescent="0.25">
      <c r="B59" s="9" t="s">
        <v>77</v>
      </c>
      <c r="C59" s="14">
        <f>[633]NºAsuntos!$E$36/Población!$M$59*1000</f>
        <v>162.2767318213341</v>
      </c>
      <c r="D59" s="14">
        <f>[633]NºAsuntos!$E$17/Población!$M$59*1000</f>
        <v>37.435594482829472</v>
      </c>
      <c r="E59" s="14">
        <f>[633]NºAsuntos!$E$28/Población!$M$59*1000</f>
        <v>114.23933424087535</v>
      </c>
      <c r="F59" s="14">
        <f>[633]NºAsuntos!$E$31/Población!$M$59*1000</f>
        <v>2.8089281586314949</v>
      </c>
      <c r="G59" s="14">
        <f>[633]NºAsuntos!$E$35/Población!$M$59*1000</f>
        <v>7.7928749389977661</v>
      </c>
    </row>
    <row r="60" spans="2:7" ht="20.100000000000001" customHeight="1" thickBot="1" x14ac:dyDescent="0.25">
      <c r="B60" s="9" t="s">
        <v>78</v>
      </c>
      <c r="C60" s="14">
        <f>[634]NºAsuntos!$E$61/Población!$M$60*1000</f>
        <v>221.80003884626589</v>
      </c>
      <c r="D60" s="14">
        <f>[634]NºAsuntos!$E$21/Población!$M$60*1000</f>
        <v>25.66281441196465</v>
      </c>
      <c r="E60" s="14">
        <f>[634]NºAsuntos!$E$40/Población!$M$60*1000</f>
        <v>178.66854423618531</v>
      </c>
      <c r="F60" s="14">
        <f>[634]NºAsuntos!$E$47/Población!$M$60*1000</f>
        <v>9.6387297271049821</v>
      </c>
      <c r="G60" s="14">
        <f>[634]NºAsuntos!$E$54/Población!$M$60*1000</f>
        <v>7.8299504710109735</v>
      </c>
    </row>
    <row r="61" spans="2:7" ht="20.100000000000001" customHeight="1" thickBot="1" x14ac:dyDescent="0.25">
      <c r="B61" s="9" t="s">
        <v>79</v>
      </c>
      <c r="C61" s="14">
        <f>[635]NºAsuntos!$E$61/Población!$M$61*1000</f>
        <v>266.00489321576021</v>
      </c>
      <c r="D61" s="14">
        <f>[635]NºAsuntos!$E$21/Población!$M$61*1000</f>
        <v>30.990366481472041</v>
      </c>
      <c r="E61" s="14">
        <f>[635]NºAsuntos!$E$40/Población!$M$61*1000</f>
        <v>211.95015036444261</v>
      </c>
      <c r="F61" s="14">
        <f>[635]NºAsuntos!$E$47/Población!$M$61*1000</f>
        <v>15.112900759467863</v>
      </c>
      <c r="G61" s="14">
        <f>[635]NºAsuntos!$E$54/Población!$M$61*1000</f>
        <v>7.9514756103776962</v>
      </c>
    </row>
    <row r="62" spans="2:7" ht="20.100000000000001" customHeight="1" thickBot="1" x14ac:dyDescent="0.25">
      <c r="B62" s="12" t="s">
        <v>6</v>
      </c>
      <c r="C62" s="15">
        <f>[636]NºAsuntos!$E$60/Población!$S$62*1000</f>
        <v>196.26687908554413</v>
      </c>
      <c r="D62" s="15">
        <f>[636]NºAsuntos!$E$20/Población!$S$62*1000</f>
        <v>40.171749062293301</v>
      </c>
      <c r="E62" s="15">
        <f>[636]NºAsuntos!$E$39/Población!$S$62*1000</f>
        <v>140.46395814561376</v>
      </c>
      <c r="F62" s="15">
        <f>[636]NºAsuntos!$E$46/Población!$S$62*1000</f>
        <v>6.2253752952516752</v>
      </c>
      <c r="G62" s="15">
        <f>[636]NºAsuntos!$E$53/Población!$S$62*1000</f>
        <v>9.3981310539959821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/>
  <dimension ref="B8:Q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7.5703125" style="1" customWidth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17" ht="13.5" thickBot="1" x14ac:dyDescent="0.25"/>
    <row r="9" spans="2:1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17" ht="20.100000000000001" customHeight="1" thickBot="1" x14ac:dyDescent="0.25">
      <c r="B10" s="9" t="s">
        <v>31</v>
      </c>
      <c r="C10" s="14">
        <f>[637]NºAsuntos!$E$36/Población!$L$10*1000</f>
        <v>136.64540606748622</v>
      </c>
      <c r="D10" s="14">
        <f>[637]NºAsuntos!$E$17/Población!$L$10*1000</f>
        <v>35.941366553641934</v>
      </c>
      <c r="E10" s="14">
        <f>[637]NºAsuntos!$E$28/Población!$L$10*1000</f>
        <v>90.369994174496242</v>
      </c>
      <c r="F10" s="14">
        <f>[637]NºAsuntos!$E$31/Población!$L$10*1000</f>
        <v>2.9451157881109933</v>
      </c>
      <c r="G10" s="14">
        <f>[637]NºAsuntos!$E$35/Población!$L$10*1000</f>
        <v>7.3889295512370481</v>
      </c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17" ht="20.100000000000001" customHeight="1" thickBot="1" x14ac:dyDescent="0.25">
      <c r="B11" s="9" t="s">
        <v>32</v>
      </c>
      <c r="C11" s="14">
        <f>[638]NºAsuntos!$E$36/Población!$L$11*1000</f>
        <v>201.54650012848566</v>
      </c>
      <c r="D11" s="14">
        <f>[638]NºAsuntos!$E$17/Población!$L$11*1000</f>
        <v>48.543699400659818</v>
      </c>
      <c r="E11" s="14">
        <f>[638]NºAsuntos!$E$28/Población!$L$11*1000</f>
        <v>143.32199025585518</v>
      </c>
      <c r="F11" s="14">
        <f>[638]NºAsuntos!$E$31/Población!$L$11*1000</f>
        <v>2.8199357831265881</v>
      </c>
      <c r="G11" s="14">
        <f>[638]NºAsuntos!$E$35/Población!$L$11*1000</f>
        <v>6.8608746888440706</v>
      </c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17" ht="20.100000000000001" customHeight="1" thickBot="1" x14ac:dyDescent="0.25">
      <c r="B12" s="9" t="s">
        <v>33</v>
      </c>
      <c r="C12" s="14">
        <f>[639]NºAsuntos!$E$36/Población!$L$12*1000</f>
        <v>230.92616021622862</v>
      </c>
      <c r="D12" s="14">
        <f>[639]NºAsuntos!$E$17/Población!$L$12*1000</f>
        <v>50.188337454712745</v>
      </c>
      <c r="E12" s="14">
        <f>[639]NºAsuntos!$E$28/Población!$L$12*1000</f>
        <v>168.70579101730979</v>
      </c>
      <c r="F12" s="14">
        <f>[639]NºAsuntos!$E$31/Población!$L$12*1000</f>
        <v>3.9967795732934612</v>
      </c>
      <c r="G12" s="14">
        <f>[639]NºAsuntos!$E$35/Población!$L$12*1000</f>
        <v>8.0352521709126474</v>
      </c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17" ht="20.100000000000001" customHeight="1" thickBot="1" x14ac:dyDescent="0.25">
      <c r="B13" s="9" t="s">
        <v>34</v>
      </c>
      <c r="C13" s="14">
        <f>[640]NºAsuntos!$E$36/Población!$L$13*1000</f>
        <v>148.29589856058885</v>
      </c>
      <c r="D13" s="14">
        <f>[640]NºAsuntos!$E$17/Población!$L$13*1000</f>
        <v>36.001033552648167</v>
      </c>
      <c r="E13" s="14">
        <f>[640]NºAsuntos!$E$28/Población!$L$13*1000</f>
        <v>95.893518868637983</v>
      </c>
      <c r="F13" s="14">
        <f>[640]NºAsuntos!$E$31/Población!$L$13*1000</f>
        <v>7.0331997277471068</v>
      </c>
      <c r="G13" s="14">
        <f>[640]NºAsuntos!$E$35/Población!$L$13*1000</f>
        <v>9.3681464115556228</v>
      </c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2:17" ht="20.100000000000001" customHeight="1" thickBot="1" x14ac:dyDescent="0.25">
      <c r="B14" s="9" t="s">
        <v>35</v>
      </c>
      <c r="C14" s="14">
        <f>[641]NºAsuntos!$E$36/Población!$L$14*1000</f>
        <v>154.21716969108425</v>
      </c>
      <c r="D14" s="14">
        <f>[641]NºAsuntos!$E$17/Población!$L$14*1000</f>
        <v>44.026740665528649</v>
      </c>
      <c r="E14" s="14">
        <f>[641]NºAsuntos!$E$28/Población!$L$14*1000</f>
        <v>95.854532845294983</v>
      </c>
      <c r="F14" s="14">
        <f>[641]NºAsuntos!$E$31/Población!$L$14*1000</f>
        <v>3.0110454183693136</v>
      </c>
      <c r="G14" s="14">
        <f>[641]NºAsuntos!$E$35/Población!$L$14*1000</f>
        <v>11.324850761891323</v>
      </c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2:17" ht="20.100000000000001" customHeight="1" thickBot="1" x14ac:dyDescent="0.25">
      <c r="B15" s="9" t="s">
        <v>36</v>
      </c>
      <c r="C15" s="14">
        <f>[642]NºAsuntos!$E$36/Población!$L$15*1000</f>
        <v>137.51338018336668</v>
      </c>
      <c r="D15" s="14">
        <f>[642]NºAsuntos!$E$17/Población!$L$15*1000</f>
        <v>33.846046446688696</v>
      </c>
      <c r="E15" s="14">
        <f>[642]NºAsuntos!$E$28/Población!$L$15*1000</f>
        <v>97.756783171219809</v>
      </c>
      <c r="F15" s="14">
        <f>[642]NºAsuntos!$E$31/Población!$L$15*1000</f>
        <v>3.0367198771350119</v>
      </c>
      <c r="G15" s="14">
        <f>[642]NºAsuntos!$E$35/Población!$L$15*1000</f>
        <v>2.8738306883231721</v>
      </c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2:17" ht="20.100000000000001" customHeight="1" thickBot="1" x14ac:dyDescent="0.25">
      <c r="B16" s="9" t="s">
        <v>37</v>
      </c>
      <c r="C16" s="14">
        <f>[643]NºAsuntos!$E$36/Población!$L$16*1000</f>
        <v>151.77342058002969</v>
      </c>
      <c r="D16" s="14">
        <f>[643]NºAsuntos!$E$17/Población!$L$16*1000</f>
        <v>34.130526181955304</v>
      </c>
      <c r="E16" s="14">
        <f>[643]NºAsuntos!$E$28/Población!$L$16*1000</f>
        <v>110.29897260224493</v>
      </c>
      <c r="F16" s="14">
        <f>[643]NºAsuntos!$E$31/Población!$L$16*1000</f>
        <v>2.7740172827055916</v>
      </c>
      <c r="G16" s="14">
        <f>[643]NºAsuntos!$E$35/Población!$L$16*1000</f>
        <v>4.5699045131238467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2:17" ht="20.100000000000001" customHeight="1" thickBot="1" x14ac:dyDescent="0.25">
      <c r="B17" s="9" t="s">
        <v>29</v>
      </c>
      <c r="C17" s="14">
        <f>[644]NºAsuntos!$E$36/Población!$L$17*1000</f>
        <v>198.99480041119335</v>
      </c>
      <c r="D17" s="14">
        <f>[644]NºAsuntos!$E$17/Población!$L$17*1000</f>
        <v>48.655168080256843</v>
      </c>
      <c r="E17" s="14">
        <f>[644]NºAsuntos!$E$28/Población!$L$17*1000</f>
        <v>141.3273733803837</v>
      </c>
      <c r="F17" s="14">
        <f>[644]NºAsuntos!$E$31/Población!$L$17*1000</f>
        <v>2.0858027085599282</v>
      </c>
      <c r="G17" s="14">
        <f>[644]NºAsuntos!$E$35/Población!$L$17*1000</f>
        <v>6.926456241992895</v>
      </c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20.100000000000001" customHeight="1" thickBot="1" x14ac:dyDescent="0.25">
      <c r="B18" s="9" t="s">
        <v>38</v>
      </c>
      <c r="C18" s="14">
        <f>[645]NºAsuntos!$E$36/Población!$L$18*1000</f>
        <v>186.73771539753884</v>
      </c>
      <c r="D18" s="14">
        <f>[645]NºAsuntos!$E$17/Población!$L$18*1000</f>
        <v>45.153758373710595</v>
      </c>
      <c r="E18" s="14">
        <f>[645]NºAsuntos!$E$28/Población!$L$18*1000</f>
        <v>130.78348300272157</v>
      </c>
      <c r="F18" s="14">
        <f>[645]NºAsuntos!$E$31/Población!$L$18*1000</f>
        <v>2.1574456279246408</v>
      </c>
      <c r="G18" s="14">
        <f>[645]NºAsuntos!$E$35/Población!$L$18*1000</f>
        <v>8.6430283931820355</v>
      </c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ht="20.100000000000001" customHeight="1" thickBot="1" x14ac:dyDescent="0.25">
      <c r="B19" s="9" t="s">
        <v>39</v>
      </c>
      <c r="C19" s="14">
        <f>[646]NºAsuntos!$E$36/Población!$L$19*1000</f>
        <v>136.04293574546426</v>
      </c>
      <c r="D19" s="14">
        <f>[646]NºAsuntos!$E$17/Población!$L$19*1000</f>
        <v>33.102371104354248</v>
      </c>
      <c r="E19" s="14">
        <f>[646]NºAsuntos!$E$28/Población!$L$19*1000</f>
        <v>88.52377171663241</v>
      </c>
      <c r="F19" s="14">
        <f>[646]NºAsuntos!$E$31/Población!$L$19*1000</f>
        <v>6.0707760261553023</v>
      </c>
      <c r="G19" s="14">
        <f>[646]NºAsuntos!$E$35/Población!$L$19*1000</f>
        <v>8.3460168983223024</v>
      </c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ht="20.100000000000001" customHeight="1" thickBot="1" x14ac:dyDescent="0.25">
      <c r="B20" s="9" t="s">
        <v>40</v>
      </c>
      <c r="C20" s="14">
        <f>[647]NºAsuntos!$E$36/Población!$L$20*1000</f>
        <v>158.91907178264049</v>
      </c>
      <c r="D20" s="14">
        <f>[647]NºAsuntos!$E$17/Población!$L$20*1000</f>
        <v>40.402746874549791</v>
      </c>
      <c r="E20" s="14">
        <f>[647]NºAsuntos!$E$28/Población!$L$20*1000</f>
        <v>105.90247208037863</v>
      </c>
      <c r="F20" s="14">
        <f>[647]NºAsuntos!$E$31/Población!$L$20*1000</f>
        <v>4.2793189373202498</v>
      </c>
      <c r="G20" s="14">
        <f>[647]NºAsuntos!$E$35/Población!$L$20*1000</f>
        <v>8.3345338903918087</v>
      </c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ht="20.100000000000001" customHeight="1" thickBot="1" x14ac:dyDescent="0.25">
      <c r="B21" s="9" t="s">
        <v>41</v>
      </c>
      <c r="C21" s="14">
        <f>[648]NºAsuntos!$E$36/Población!$L$21*1000</f>
        <v>119.7230433431386</v>
      </c>
      <c r="D21" s="14">
        <f>[648]NºAsuntos!$E$17/Población!$L$21*1000</f>
        <v>28.560552949651033</v>
      </c>
      <c r="E21" s="14">
        <f>[648]NºAsuntos!$E$28/Población!$L$21*1000</f>
        <v>83.742287687040914</v>
      </c>
      <c r="F21" s="14">
        <f>[648]NºAsuntos!$E$31/Población!$L$21*1000</f>
        <v>2.7175287833999464</v>
      </c>
      <c r="G21" s="14">
        <f>[648]NºAsuntos!$E$35/Población!$L$21*1000</f>
        <v>4.7026739230467154</v>
      </c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ht="20.100000000000001" customHeight="1" thickBot="1" x14ac:dyDescent="0.25">
      <c r="B22" s="9" t="s">
        <v>42</v>
      </c>
      <c r="C22" s="14">
        <f>[649]NºAsuntos!$E$36/Población!$L$22*1000</f>
        <v>201.79358781440547</v>
      </c>
      <c r="D22" s="14">
        <f>[649]NºAsuntos!$E$17/Población!$L$22*1000</f>
        <v>40.009250132808944</v>
      </c>
      <c r="E22" s="14">
        <f>[649]NºAsuntos!$E$28/Población!$L$22*1000</f>
        <v>150.55238008989772</v>
      </c>
      <c r="F22" s="14">
        <f>[649]NºAsuntos!$E$31/Población!$L$22*1000</f>
        <v>4.9679034945934424</v>
      </c>
      <c r="G22" s="14">
        <f>[649]NºAsuntos!$E$35/Población!$L$22*1000</f>
        <v>6.2640540971053715</v>
      </c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2:17" ht="20.100000000000001" customHeight="1" thickBot="1" x14ac:dyDescent="0.25">
      <c r="B23" s="9" t="s">
        <v>5</v>
      </c>
      <c r="C23" s="14">
        <f>[650]NºAsuntos!$E$36/Población!$L$23*1000</f>
        <v>188.73448712536936</v>
      </c>
      <c r="D23" s="14">
        <f>[650]NºAsuntos!$E$17/Población!$L$23*1000</f>
        <v>49.636133389615871</v>
      </c>
      <c r="E23" s="14">
        <f>[650]NºAsuntos!$E$28/Población!$L$23*1000</f>
        <v>126.65597298438158</v>
      </c>
      <c r="F23" s="14">
        <f>[650]NºAsuntos!$E$31/Población!$L$23*1000</f>
        <v>3.4124102997045167</v>
      </c>
      <c r="G23" s="14">
        <f>[650]NºAsuntos!$E$35/Población!$L$23*1000</f>
        <v>9.0299704516673707</v>
      </c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2:17" ht="20.100000000000001" customHeight="1" thickBot="1" x14ac:dyDescent="0.25">
      <c r="B24" s="9" t="s">
        <v>43</v>
      </c>
      <c r="C24" s="14">
        <f>[651]NºAsuntos!$E$36/Población!$L$24*1000</f>
        <v>184.97403495765167</v>
      </c>
      <c r="D24" s="14">
        <f>[651]NºAsuntos!$E$17/Población!$L$24*1000</f>
        <v>48.732859596805419</v>
      </c>
      <c r="E24" s="14">
        <f>[651]NºAsuntos!$E$28/Población!$L$24*1000</f>
        <v>125.00124115881206</v>
      </c>
      <c r="F24" s="14">
        <f>[651]NºAsuntos!$E$31/Población!$L$24*1000</f>
        <v>3.4057397802983416</v>
      </c>
      <c r="G24" s="14">
        <f>[651]NºAsuntos!$E$35/Población!$L$24*1000</f>
        <v>7.8341944217358348</v>
      </c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17" ht="20.100000000000001" customHeight="1" thickBot="1" x14ac:dyDescent="0.25">
      <c r="B25" s="9" t="s">
        <v>44</v>
      </c>
      <c r="C25" s="14">
        <f>[652]NºAsuntos!$E$36/Población!$L$25*1000</f>
        <v>145.86752742925248</v>
      </c>
      <c r="D25" s="14">
        <f>[652]NºAsuntos!$E$17/Población!$L$25*1000</f>
        <v>33.215412888396131</v>
      </c>
      <c r="E25" s="14">
        <f>[652]NºAsuntos!$E$28/Población!$L$25*1000</f>
        <v>104.0356745546819</v>
      </c>
      <c r="F25" s="14">
        <f>[652]NºAsuntos!$E$31/Población!$L$25*1000</f>
        <v>2.0285086683803848</v>
      </c>
      <c r="G25" s="14">
        <f>[652]NºAsuntos!$E$35/Población!$L$25*1000</f>
        <v>6.5879313177940251</v>
      </c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2:17" ht="20.100000000000001" customHeight="1" thickBot="1" x14ac:dyDescent="0.25">
      <c r="B26" s="9" t="s">
        <v>45</v>
      </c>
      <c r="C26" s="14">
        <f>[653]NºAsuntos!$E$36/Población!$L$26*1000</f>
        <v>179.06541731047261</v>
      </c>
      <c r="D26" s="14">
        <f>[653]NºAsuntos!$E$17/Población!$L$26*1000</f>
        <v>36.976405649925226</v>
      </c>
      <c r="E26" s="14">
        <f>[653]NºAsuntos!$E$28/Población!$L$26*1000</f>
        <v>130.81226369629914</v>
      </c>
      <c r="F26" s="14">
        <f>[653]NºAsuntos!$E$31/Población!$L$26*1000</f>
        <v>4.3286118135703529</v>
      </c>
      <c r="G26" s="14">
        <f>[653]NºAsuntos!$E$35/Población!$L$26*1000</f>
        <v>6.9481361506779216</v>
      </c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2:17" ht="20.100000000000001" customHeight="1" thickBot="1" x14ac:dyDescent="0.25">
      <c r="B27" s="9" t="s">
        <v>46</v>
      </c>
      <c r="C27" s="14">
        <f>[654]NºAsuntos!$E$36/Población!$L$27*1000</f>
        <v>165.04311540414039</v>
      </c>
      <c r="D27" s="14">
        <f>[654]NºAsuntos!$E$17/Población!$L$27*1000</f>
        <v>39.879350137554098</v>
      </c>
      <c r="E27" s="14">
        <f>[654]NºAsuntos!$E$28/Población!$L$27*1000</f>
        <v>112.43237868286496</v>
      </c>
      <c r="F27" s="14">
        <f>[654]NºAsuntos!$E$31/Población!$L$27*1000</f>
        <v>3.6634573617175685</v>
      </c>
      <c r="G27" s="14">
        <f>[654]NºAsuntos!$E$35/Población!$L$27*1000</f>
        <v>9.0679292220037713</v>
      </c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2:17" ht="20.100000000000001" customHeight="1" thickBot="1" x14ac:dyDescent="0.25">
      <c r="B28" s="9" t="s">
        <v>47</v>
      </c>
      <c r="C28" s="14">
        <f>[655]NºAsuntos!$E$36/Población!$L$28*1000</f>
        <v>145.37746421944183</v>
      </c>
      <c r="D28" s="14">
        <f>[655]NºAsuntos!$E$17/Población!$L$28*1000</f>
        <v>27.205166363519446</v>
      </c>
      <c r="E28" s="14">
        <f>[655]NºAsuntos!$E$28/Población!$L$28*1000</f>
        <v>110.11593084568888</v>
      </c>
      <c r="F28" s="14">
        <f>[655]NºAsuntos!$E$31/Población!$L$28*1000</f>
        <v>2.930423120027926</v>
      </c>
      <c r="G28" s="14">
        <f>[655]NºAsuntos!$E$35/Población!$L$28*1000</f>
        <v>5.1259438902055887</v>
      </c>
    </row>
    <row r="29" spans="2:17" ht="20.100000000000001" customHeight="1" thickBot="1" x14ac:dyDescent="0.25">
      <c r="B29" s="9" t="s">
        <v>48</v>
      </c>
      <c r="C29" s="14">
        <f>[656]NºAsuntos!$E$36/Población!$L$10*1000</f>
        <v>218.42153743508547</v>
      </c>
      <c r="D29" s="14">
        <f>[656]NºAsuntos!$E$17/Población!$L$10*1000</f>
        <v>47.6023321931279</v>
      </c>
      <c r="E29" s="14">
        <f>[656]NºAsuntos!$E$28/Población!$L$10*1000</f>
        <v>151.99585741955079</v>
      </c>
      <c r="F29" s="14">
        <f>[656]NºAsuntos!$E$31/Población!$L$10*1000</f>
        <v>8.0113124312266919</v>
      </c>
      <c r="G29" s="14">
        <f>[656]NºAsuntos!$E$35/Población!$L$10*1000</f>
        <v>10.812035391180087</v>
      </c>
    </row>
    <row r="30" spans="2:17" ht="20.100000000000001" customHeight="1" thickBot="1" x14ac:dyDescent="0.25">
      <c r="B30" s="9" t="s">
        <v>49</v>
      </c>
      <c r="C30" s="14">
        <f>[657]NºAsuntos!$E$36/Población!$L$30*1000</f>
        <v>178.64645718853828</v>
      </c>
      <c r="D30" s="14">
        <f>[657]NºAsuntos!$E$17/Población!$L$30*1000</f>
        <v>43.792809469806627</v>
      </c>
      <c r="E30" s="14">
        <f>[657]NºAsuntos!$E$28/Población!$L$30*1000</f>
        <v>126.95240397000981</v>
      </c>
      <c r="F30" s="14">
        <f>[657]NºAsuntos!$E$31/Población!$L$30*1000</f>
        <v>2.3252231603381466</v>
      </c>
      <c r="G30" s="14">
        <f>[657]NºAsuntos!$E$35/Población!$L$30*1000</f>
        <v>5.5760205883837104</v>
      </c>
    </row>
    <row r="31" spans="2:17" ht="20.100000000000001" customHeight="1" thickBot="1" x14ac:dyDescent="0.25">
      <c r="B31" s="9" t="s">
        <v>50</v>
      </c>
      <c r="C31" s="14">
        <f>[658]NºAsuntos!$E$36/Población!$L$31*1000</f>
        <v>255.45164213700016</v>
      </c>
      <c r="D31" s="14">
        <f>[658]NºAsuntos!$E$17/Población!$L$31*1000</f>
        <v>46.229489626085972</v>
      </c>
      <c r="E31" s="14">
        <f>[658]NºAsuntos!$E$28/Población!$L$31*1000</f>
        <v>194.16450997307399</v>
      </c>
      <c r="F31" s="14">
        <f>[658]NºAsuntos!$E$31/Población!$L$31*1000</f>
        <v>5.4461959410590888</v>
      </c>
      <c r="G31" s="14">
        <f>[658]NºAsuntos!$E$35/Población!$L$31*1000</f>
        <v>9.6114465967810805</v>
      </c>
    </row>
    <row r="32" spans="2:17" ht="20.100000000000001" customHeight="1" thickBot="1" x14ac:dyDescent="0.25">
      <c r="B32" s="9" t="s">
        <v>51</v>
      </c>
      <c r="C32" s="14">
        <f>[659]NºAsuntos!$E$36/Población!$L$32*1000</f>
        <v>159.58626666083646</v>
      </c>
      <c r="D32" s="14">
        <f>[659]NºAsuntos!$E$17/Población!$L$32*1000</f>
        <v>40.534577819472659</v>
      </c>
      <c r="E32" s="14">
        <f>[659]NºAsuntos!$E$28/Población!$L$32*1000</f>
        <v>105.81842321804081</v>
      </c>
      <c r="F32" s="14">
        <f>[659]NºAsuntos!$E$31/Población!$L$32*1000</f>
        <v>4.9132821599360801</v>
      </c>
      <c r="G32" s="14">
        <f>[659]NºAsuntos!$E$35/Población!$L$32*1000</f>
        <v>8.3199834633869045</v>
      </c>
    </row>
    <row r="33" spans="2:7" ht="20.100000000000001" customHeight="1" thickBot="1" x14ac:dyDescent="0.25">
      <c r="B33" s="9" t="s">
        <v>52</v>
      </c>
      <c r="C33" s="14">
        <f>[660]NºAsuntos!$E$36/Población!$L$33*1000</f>
        <v>194.27271025187181</v>
      </c>
      <c r="D33" s="14">
        <f>[660]NºAsuntos!$E$17/Población!$L$33*1000</f>
        <v>39.962862950002027</v>
      </c>
      <c r="E33" s="14">
        <f>[660]NºAsuntos!$E$28/Población!$L$33*1000</f>
        <v>140.0726913359108</v>
      </c>
      <c r="F33" s="14">
        <f>[660]NºAsuntos!$E$31/Población!$L$33*1000</f>
        <v>6.9950451763334307</v>
      </c>
      <c r="G33" s="14">
        <f>[660]NºAsuntos!$E$35/Población!$L$33*1000</f>
        <v>7.2421107896255608</v>
      </c>
    </row>
    <row r="34" spans="2:7" ht="20.100000000000001" customHeight="1" thickBot="1" x14ac:dyDescent="0.25">
      <c r="B34" s="9" t="s">
        <v>53</v>
      </c>
      <c r="C34" s="14">
        <f>[661]NºAsuntos!$E$36/Población!$L$34*1000</f>
        <v>136.29761206828661</v>
      </c>
      <c r="D34" s="14">
        <f>[661]NºAsuntos!$E$17/Población!$L$34*1000</f>
        <v>36.396489416623645</v>
      </c>
      <c r="E34" s="14">
        <f>[661]NºAsuntos!$E$28/Población!$L$34*1000</f>
        <v>93.154712424420083</v>
      </c>
      <c r="F34" s="14">
        <f>[661]NºAsuntos!$E$31/Población!$L$34*1000</f>
        <v>2.5113096436040356</v>
      </c>
      <c r="G34" s="14">
        <f>[661]NºAsuntos!$E$35/Población!$L$34*1000</f>
        <v>4.2351005836388618</v>
      </c>
    </row>
    <row r="35" spans="2:7" ht="20.100000000000001" customHeight="1" thickBot="1" x14ac:dyDescent="0.25">
      <c r="B35" s="9" t="s">
        <v>54</v>
      </c>
      <c r="C35" s="14">
        <f>[662]NºAsuntos!$E$36/Población!$L$35*1000</f>
        <v>154.42311046706649</v>
      </c>
      <c r="D35" s="14">
        <f>[662]NºAsuntos!$E$17/Población!$L$35*1000</f>
        <v>36.794029468022138</v>
      </c>
      <c r="E35" s="14">
        <f>[662]NºAsuntos!$E$28/Población!$L$35*1000</f>
        <v>108.85844585478286</v>
      </c>
      <c r="F35" s="14">
        <f>[662]NºAsuntos!$E$31/Población!$L$35*1000</f>
        <v>4.0103703107366107</v>
      </c>
      <c r="G35" s="14">
        <f>[662]NºAsuntos!$E$35/Población!$L$35*1000</f>
        <v>4.7602648335249063</v>
      </c>
    </row>
    <row r="36" spans="2:7" ht="20.100000000000001" customHeight="1" thickBot="1" x14ac:dyDescent="0.25">
      <c r="B36" s="9" t="s">
        <v>55</v>
      </c>
      <c r="C36" s="14">
        <f>[663]NºAsuntos!$E$36/Población!$L$36*1000</f>
        <v>172.61318207673386</v>
      </c>
      <c r="D36" s="14">
        <f>[663]NºAsuntos!$E$17/Población!$L$36*1000</f>
        <v>43.734627987277776</v>
      </c>
      <c r="E36" s="14">
        <f>[663]NºAsuntos!$E$28/Población!$L$36*1000</f>
        <v>115.05275554594178</v>
      </c>
      <c r="F36" s="14">
        <f>[663]NºAsuntos!$E$31/Población!$L$36*1000</f>
        <v>3.3067352448706551</v>
      </c>
      <c r="G36" s="14">
        <f>[663]NºAsuntos!$E$35/Población!$L$36*1000</f>
        <v>10.519063298643657</v>
      </c>
    </row>
    <row r="37" spans="2:7" ht="20.100000000000001" customHeight="1" thickBot="1" x14ac:dyDescent="0.25">
      <c r="B37" s="9" t="s">
        <v>56</v>
      </c>
      <c r="C37" s="14">
        <f>[664]NºAsuntos!$E$36/Población!$L$37*1000</f>
        <v>141.37454294082335</v>
      </c>
      <c r="D37" s="14">
        <f>[664]NºAsuntos!$E$17/Población!$L$37*1000</f>
        <v>38.581706718087723</v>
      </c>
      <c r="E37" s="14">
        <f>[664]NºAsuntos!$E$28/Población!$L$37*1000</f>
        <v>96.17343690309437</v>
      </c>
      <c r="F37" s="14">
        <f>[664]NºAsuntos!$E$31/Población!$L$37*1000</f>
        <v>1.9032762729439159</v>
      </c>
      <c r="G37" s="14">
        <f>[664]NºAsuntos!$E$35/Población!$L$37*1000</f>
        <v>4.7161230466973487</v>
      </c>
    </row>
    <row r="38" spans="2:7" ht="20.100000000000001" customHeight="1" thickBot="1" x14ac:dyDescent="0.25">
      <c r="B38" s="9" t="s">
        <v>57</v>
      </c>
      <c r="C38" s="14">
        <f>[665]NºAsuntos!$E$36/Población!$L$38*1000</f>
        <v>132.1908662985426</v>
      </c>
      <c r="D38" s="14">
        <f>[665]NºAsuntos!$E$17/Población!$L$38*1000</f>
        <v>35.419684077125012</v>
      </c>
      <c r="E38" s="14">
        <f>[665]NºAsuntos!$E$28/Población!$L$38*1000</f>
        <v>86.352629673214437</v>
      </c>
      <c r="F38" s="14">
        <f>[665]NºAsuntos!$E$31/Población!$L$38*1000</f>
        <v>2.543111251923599</v>
      </c>
      <c r="G38" s="14">
        <f>[665]NºAsuntos!$E$35/Población!$L$38*1000</f>
        <v>7.8754412962795328</v>
      </c>
    </row>
    <row r="39" spans="2:7" ht="20.100000000000001" customHeight="1" thickBot="1" x14ac:dyDescent="0.25">
      <c r="B39" s="9" t="s">
        <v>58</v>
      </c>
      <c r="C39" s="14">
        <f>[666]NºAsuntos!$E$36/Población!$L$39*1000</f>
        <v>216.96014234478727</v>
      </c>
      <c r="D39" s="14">
        <f>[666]NºAsuntos!$E$17/Población!$L$39*1000</f>
        <v>47.617595163349066</v>
      </c>
      <c r="E39" s="14">
        <f>[666]NºAsuntos!$E$28/Población!$L$39*1000</f>
        <v>154.8470245641372</v>
      </c>
      <c r="F39" s="14">
        <f>[666]NºAsuntos!$E$31/Población!$L$39*1000</f>
        <v>4.8542396562519547</v>
      </c>
      <c r="G39" s="14">
        <f>[666]NºAsuntos!$E$35/Población!$L$39*1000</f>
        <v>9.6412829610490309</v>
      </c>
    </row>
    <row r="40" spans="2:7" ht="20.100000000000001" customHeight="1" thickBot="1" x14ac:dyDescent="0.25">
      <c r="B40" s="9" t="s">
        <v>59</v>
      </c>
      <c r="C40" s="14">
        <f>[667]NºAsuntos!$E$36/Población!$L$40*1000</f>
        <v>288.29920282413116</v>
      </c>
      <c r="D40" s="14">
        <f>[667]NºAsuntos!$E$17/Población!$L$40*1000</f>
        <v>54.557869028558791</v>
      </c>
      <c r="E40" s="14">
        <f>[667]NºAsuntos!$E$28/Población!$L$40*1000</f>
        <v>218.53715028420865</v>
      </c>
      <c r="F40" s="14">
        <f>[667]NºAsuntos!$E$31/Población!$L$40*1000</f>
        <v>4.51863463052256</v>
      </c>
      <c r="G40" s="14">
        <f>[667]NºAsuntos!$E$35/Población!$L$40*1000</f>
        <v>10.685548880841125</v>
      </c>
    </row>
    <row r="41" spans="2:7" ht="20.100000000000001" customHeight="1" thickBot="1" x14ac:dyDescent="0.25">
      <c r="B41" s="9" t="s">
        <v>60</v>
      </c>
      <c r="C41" s="14">
        <f>[668]NºAsuntos!$E$36/Población!$L$41*1000</f>
        <v>202.62808152511084</v>
      </c>
      <c r="D41" s="14">
        <f>[668]NºAsuntos!$E$17/Población!$L$41*1000</f>
        <v>49.090308410722727</v>
      </c>
      <c r="E41" s="14">
        <f>[668]NºAsuntos!$E$28/Población!$L$41*1000</f>
        <v>139.71883317065431</v>
      </c>
      <c r="F41" s="14">
        <f>[668]NºAsuntos!$E$31/Población!$L$41*1000</f>
        <v>5.1738089261200058</v>
      </c>
      <c r="G41" s="14">
        <f>[668]NºAsuntos!$E$35/Población!$L$41*1000</f>
        <v>8.6451310176137959</v>
      </c>
    </row>
    <row r="42" spans="2:7" ht="20.100000000000001" customHeight="1" thickBot="1" x14ac:dyDescent="0.25">
      <c r="B42" s="9" t="s">
        <v>61</v>
      </c>
      <c r="C42" s="14">
        <f>[669]NºAsuntos!$E$36/Población!$L$42*1000</f>
        <v>146.10691385471421</v>
      </c>
      <c r="D42" s="14">
        <f>[669]NºAsuntos!$E$17/Población!$L$42*1000</f>
        <v>33.116980989882627</v>
      </c>
      <c r="E42" s="14">
        <f>[669]NºAsuntos!$E$28/Población!$L$42*1000</f>
        <v>103.67484974659456</v>
      </c>
      <c r="F42" s="14">
        <f>[669]NºAsuntos!$E$31/Población!$L$42*1000</f>
        <v>3.5765648648818384</v>
      </c>
      <c r="G42" s="14">
        <f>[669]NºAsuntos!$E$35/Población!$L$42*1000</f>
        <v>5.7385182533551884</v>
      </c>
    </row>
    <row r="43" spans="2:7" ht="20.100000000000001" customHeight="1" thickBot="1" x14ac:dyDescent="0.25">
      <c r="B43" s="9" t="s">
        <v>62</v>
      </c>
      <c r="C43" s="14">
        <f>[670]NºAsuntos!$E$36/Población!$L$43*1000</f>
        <v>147.50058916708181</v>
      </c>
      <c r="D43" s="14">
        <f>[670]NºAsuntos!$E$17/Población!$L$43*1000</f>
        <v>33.575065852472569</v>
      </c>
      <c r="E43" s="14">
        <f>[670]NºAsuntos!$E$28/Población!$L$43*1000</f>
        <v>101.54257366080085</v>
      </c>
      <c r="F43" s="14">
        <f>[670]NºAsuntos!$E$31/Población!$L$43*1000</f>
        <v>2.6937613918065506</v>
      </c>
      <c r="G43" s="14">
        <f>[670]NºAsuntos!$E$35/Población!$L$43*1000</f>
        <v>9.6891882620018563</v>
      </c>
    </row>
    <row r="44" spans="2:7" ht="20.100000000000001" customHeight="1" thickBot="1" x14ac:dyDescent="0.25">
      <c r="B44" s="9" t="s">
        <v>63</v>
      </c>
      <c r="C44" s="14">
        <f>[671]NºAsuntos!$E$36/Población!$L$44*1000</f>
        <v>164.12961567445367</v>
      </c>
      <c r="D44" s="14">
        <f>[671]NºAsuntos!$E$17/Población!$L$44*1000</f>
        <v>36.67613471682801</v>
      </c>
      <c r="E44" s="14">
        <f>[671]NºAsuntos!$E$28/Población!$L$44*1000</f>
        <v>115.89473074024694</v>
      </c>
      <c r="F44" s="14">
        <f>[671]NºAsuntos!$E$31/Población!$L$44*1000</f>
        <v>3.6693525013042723</v>
      </c>
      <c r="G44" s="14">
        <f>[671]NºAsuntos!$E$35/Población!$L$44*1000</f>
        <v>7.8893977160744297</v>
      </c>
    </row>
    <row r="45" spans="2:7" ht="20.100000000000001" customHeight="1" thickBot="1" x14ac:dyDescent="0.25">
      <c r="B45" s="9" t="s">
        <v>64</v>
      </c>
      <c r="C45" s="14">
        <f>[672]NºAsuntos!$E$36/Población!$L$45*1000</f>
        <v>217.16386776147183</v>
      </c>
      <c r="D45" s="14">
        <f>[672]NºAsuntos!$E$17/Población!$L$45*1000</f>
        <v>53.937951870750638</v>
      </c>
      <c r="E45" s="14">
        <f>[672]NºAsuntos!$E$28/Población!$L$45*1000</f>
        <v>145.72828842706571</v>
      </c>
      <c r="F45" s="14">
        <f>[672]NºAsuntos!$E$31/Población!$L$45*1000</f>
        <v>3.972107224888938</v>
      </c>
      <c r="G45" s="14">
        <f>[672]NºAsuntos!$E$35/Población!$L$45*1000</f>
        <v>13.525520238766557</v>
      </c>
    </row>
    <row r="46" spans="2:7" ht="20.100000000000001" customHeight="1" thickBot="1" x14ac:dyDescent="0.25">
      <c r="B46" s="9" t="s">
        <v>65</v>
      </c>
      <c r="C46" s="14">
        <f>[673]NºAsuntos!$E$36/Población!$L$46*1000</f>
        <v>212.90801186943619</v>
      </c>
      <c r="D46" s="14">
        <f>[673]NºAsuntos!$E$17/Población!$L$46*1000</f>
        <v>46.176927744391527</v>
      </c>
      <c r="E46" s="14">
        <f>[673]NºAsuntos!$E$28/Población!$L$46*1000</f>
        <v>154.08032649261486</v>
      </c>
      <c r="F46" s="14">
        <f>[673]NºAsuntos!$E$31/Población!$L$46*1000</f>
        <v>2.7315080334804547</v>
      </c>
      <c r="G46" s="14">
        <f>[673]NºAsuntos!$E$35/Población!$L$46*1000</f>
        <v>9.9192495989493725</v>
      </c>
    </row>
    <row r="47" spans="2:7" ht="20.100000000000001" customHeight="1" thickBot="1" x14ac:dyDescent="0.25">
      <c r="B47" s="9" t="s">
        <v>30</v>
      </c>
      <c r="C47" s="14">
        <f>[674]NºAsuntos!$E$36/Población!$L$47*1000</f>
        <v>134.49126126265836</v>
      </c>
      <c r="D47" s="14">
        <f>[674]NºAsuntos!$E$17/Población!$L$47*1000</f>
        <v>42.063799761177364</v>
      </c>
      <c r="E47" s="14">
        <f>[674]NºAsuntos!$E$28/Población!$L$47*1000</f>
        <v>80.024192422809108</v>
      </c>
      <c r="F47" s="14">
        <f>[674]NºAsuntos!$E$31/Población!$L$47*1000</f>
        <v>3.2597738938945149</v>
      </c>
      <c r="G47" s="14">
        <f>[674]NºAsuntos!$E$35/Población!$L$47*1000</f>
        <v>9.1434951847773824</v>
      </c>
    </row>
    <row r="48" spans="2:7" ht="20.100000000000001" customHeight="1" thickBot="1" x14ac:dyDescent="0.25">
      <c r="B48" s="9" t="s">
        <v>66</v>
      </c>
      <c r="C48" s="14">
        <f>[675]NºAsuntos!$E$36/Población!$L$48*1000</f>
        <v>168.52884036208462</v>
      </c>
      <c r="D48" s="14">
        <f>[675]NºAsuntos!$E$17/Población!$L$48*1000</f>
        <v>36.864534993877591</v>
      </c>
      <c r="E48" s="14">
        <f>[675]NºAsuntos!$E$28/Población!$L$48*1000</f>
        <v>120.92958805946513</v>
      </c>
      <c r="F48" s="14">
        <f>[675]NºAsuntos!$E$31/Población!$L$48*1000</f>
        <v>4.241853520314236</v>
      </c>
      <c r="G48" s="14">
        <f>[675]NºAsuntos!$E$35/Población!$L$48*1000</f>
        <v>6.4928637884276581</v>
      </c>
    </row>
    <row r="49" spans="2:7" ht="20.100000000000001" customHeight="1" thickBot="1" x14ac:dyDescent="0.25">
      <c r="B49" s="9" t="s">
        <v>67</v>
      </c>
      <c r="C49" s="14">
        <f>[676]NºAsuntos!$E$36/Población!$L$49*1000</f>
        <v>188.86210324988278</v>
      </c>
      <c r="D49" s="14">
        <f>[676]NºAsuntos!$E$17/Población!$L$49*1000</f>
        <v>48.933081950435536</v>
      </c>
      <c r="E49" s="14">
        <f>[676]NºAsuntos!$E$28/Población!$L$49*1000</f>
        <v>129.21314429028109</v>
      </c>
      <c r="F49" s="14">
        <f>[676]NºAsuntos!$E$31/Población!$L$49*1000</f>
        <v>2.3931963179799087</v>
      </c>
      <c r="G49" s="14">
        <f>[676]NºAsuntos!$E$35/Población!$L$49*1000</f>
        <v>8.3226806911862266</v>
      </c>
    </row>
    <row r="50" spans="2:7" ht="20.100000000000001" customHeight="1" thickBot="1" x14ac:dyDescent="0.25">
      <c r="B50" s="9" t="s">
        <v>68</v>
      </c>
      <c r="C50" s="14">
        <f>[677]NºAsuntos!$E$36/Población!$L$50*1000</f>
        <v>141.15956850999586</v>
      </c>
      <c r="D50" s="14">
        <f>[677]NºAsuntos!$E$17/Población!$L$50*1000</f>
        <v>34.808970706406605</v>
      </c>
      <c r="E50" s="14">
        <f>[677]NºAsuntos!$E$28/Población!$L$50*1000</f>
        <v>97.048725253853448</v>
      </c>
      <c r="F50" s="14">
        <f>[677]NºAsuntos!$E$31/Población!$L$50*1000</f>
        <v>4.0787006598972413</v>
      </c>
      <c r="G50" s="14">
        <f>[677]NºAsuntos!$E$35/Población!$L$50*1000</f>
        <v>5.2231718898385564</v>
      </c>
    </row>
    <row r="51" spans="2:7" ht="20.100000000000001" customHeight="1" thickBot="1" x14ac:dyDescent="0.25">
      <c r="B51" s="9" t="s">
        <v>69</v>
      </c>
      <c r="C51" s="14">
        <f>[678]NºAsuntos!$E$36/Población!$L$51*1000</f>
        <v>224.83265061705276</v>
      </c>
      <c r="D51" s="14">
        <f>[678]NºAsuntos!$E$17/Población!$L$51*1000</f>
        <v>42.072466860049332</v>
      </c>
      <c r="E51" s="14">
        <f>[678]NºAsuntos!$E$28/Población!$L$51*1000</f>
        <v>169.81613345594928</v>
      </c>
      <c r="F51" s="14">
        <f>[678]NºAsuntos!$E$31/Población!$L$51*1000</f>
        <v>5.7352340544062193</v>
      </c>
      <c r="G51" s="14">
        <f>[678]NºAsuntos!$E$35/Población!$L$51*1000</f>
        <v>7.2088162466479266</v>
      </c>
    </row>
    <row r="52" spans="2:7" ht="20.100000000000001" customHeight="1" thickBot="1" x14ac:dyDescent="0.25">
      <c r="B52" s="9" t="s">
        <v>70</v>
      </c>
      <c r="C52" s="14">
        <f>[679]NºAsuntos!$E$36/Población!$L$52*1000</f>
        <v>144.2503516764996</v>
      </c>
      <c r="D52" s="14">
        <f>[679]NºAsuntos!$E$17/Población!$L$52*1000</f>
        <v>36.395893258309009</v>
      </c>
      <c r="E52" s="14">
        <f>[679]NºAsuntos!$E$28/Población!$L$52*1000</f>
        <v>97.230678788133275</v>
      </c>
      <c r="F52" s="14">
        <f>[679]NºAsuntos!$E$31/Población!$L$52*1000</f>
        <v>5.5743349639925261</v>
      </c>
      <c r="G52" s="14">
        <f>[679]NºAsuntos!$E$35/Población!$L$52*1000</f>
        <v>5.0494446660647929</v>
      </c>
    </row>
    <row r="53" spans="2:7" ht="20.100000000000001" customHeight="1" thickBot="1" x14ac:dyDescent="0.25">
      <c r="B53" s="9" t="s">
        <v>71</v>
      </c>
      <c r="C53" s="14">
        <f>[680]NºAsuntos!$E$36/Población!$L$53*1000</f>
        <v>220.94950644466985</v>
      </c>
      <c r="D53" s="14">
        <f>[680]NºAsuntos!$E$17/Población!$L$53*1000</f>
        <v>46.600776823928157</v>
      </c>
      <c r="E53" s="14">
        <f>[680]NºAsuntos!$E$28/Población!$L$53*1000</f>
        <v>166.39494322258233</v>
      </c>
      <c r="F53" s="14">
        <f>[680]NºAsuntos!$E$31/Población!$L$53*1000</f>
        <v>1.7503277999059894</v>
      </c>
      <c r="G53" s="14">
        <f>[680]NºAsuntos!$E$35/Población!$L$53*1000</f>
        <v>6.2034585982533832</v>
      </c>
    </row>
    <row r="54" spans="2:7" ht="20.100000000000001" customHeight="1" thickBot="1" x14ac:dyDescent="0.25">
      <c r="B54" s="9" t="s">
        <v>72</v>
      </c>
      <c r="C54" s="14">
        <f>[681]NºAsuntos!$E$36/Población!$L$54*1000</f>
        <v>93.572967503458912</v>
      </c>
      <c r="D54" s="14">
        <f>[681]NºAsuntos!$E$17/Población!$L$54*1000</f>
        <v>21.462447600101875</v>
      </c>
      <c r="E54" s="14">
        <f>[681]NºAsuntos!$E$28/Población!$L$54*1000</f>
        <v>66.844717333094707</v>
      </c>
      <c r="F54" s="14">
        <f>[681]NºAsuntos!$E$31/Población!$L$54*1000</f>
        <v>1.6451330905786876</v>
      </c>
      <c r="G54" s="14">
        <f>[681]NºAsuntos!$E$35/Población!$L$54*1000</f>
        <v>3.6206694796836385</v>
      </c>
    </row>
    <row r="55" spans="2:7" ht="20.100000000000001" customHeight="1" thickBot="1" x14ac:dyDescent="0.25">
      <c r="B55" s="9" t="s">
        <v>73</v>
      </c>
      <c r="C55" s="14">
        <f>[682]NºAsuntos!$E$36/Población!$L$55*1000</f>
        <v>139.98100174938642</v>
      </c>
      <c r="D55" s="14">
        <f>[682]NºAsuntos!$E$17/Población!$L$55*1000</f>
        <v>34.91179281304489</v>
      </c>
      <c r="E55" s="14">
        <f>[682]NºAsuntos!$E$28/Población!$L$55*1000</f>
        <v>97.114586959979036</v>
      </c>
      <c r="F55" s="14">
        <f>[682]NºAsuntos!$E$31/Población!$L$55*1000</f>
        <v>2.3912579392199258</v>
      </c>
      <c r="G55" s="14">
        <f>[682]NºAsuntos!$E$35/Población!$L$55*1000</f>
        <v>5.5633640371425823</v>
      </c>
    </row>
    <row r="56" spans="2:7" ht="20.100000000000001" customHeight="1" thickBot="1" x14ac:dyDescent="0.25">
      <c r="B56" s="9" t="s">
        <v>74</v>
      </c>
      <c r="C56" s="14">
        <f>[683]NºAsuntos!$E$36/Población!$L$56*1000</f>
        <v>202.16399918330882</v>
      </c>
      <c r="D56" s="14">
        <f>[683]NºAsuntos!$E$17/Población!$L$56*1000</f>
        <v>48.928247790614023</v>
      </c>
      <c r="E56" s="14">
        <f>[683]NºAsuntos!$E$28/Población!$L$56*1000</f>
        <v>140.20084869246114</v>
      </c>
      <c r="F56" s="14">
        <f>[683]NºAsuntos!$E$31/Población!$L$56*1000</f>
        <v>3.8300801930304629</v>
      </c>
      <c r="G56" s="14">
        <f>[683]NºAsuntos!$E$35/Población!$L$56*1000</f>
        <v>9.2048225072031915</v>
      </c>
    </row>
    <row r="57" spans="2:7" ht="20.100000000000001" customHeight="1" thickBot="1" x14ac:dyDescent="0.25">
      <c r="B57" s="9" t="s">
        <v>75</v>
      </c>
      <c r="C57" s="14">
        <f>[684]NºAsuntos!$E$36/Población!$L$57*1000</f>
        <v>168.36444044674312</v>
      </c>
      <c r="D57" s="14">
        <f>[684]NºAsuntos!$E$17/Población!$L$57*1000</f>
        <v>42.912825125552807</v>
      </c>
      <c r="E57" s="14">
        <f>[684]NºAsuntos!$E$28/Población!$L$57*1000</f>
        <v>112.09429577992654</v>
      </c>
      <c r="F57" s="14">
        <f>[684]NºAsuntos!$E$31/Población!$L$57*1000</f>
        <v>5.9159733153436775</v>
      </c>
      <c r="G57" s="14">
        <f>[684]NºAsuntos!$E$35/Población!$L$57*1000</f>
        <v>7.4413462259200953</v>
      </c>
    </row>
    <row r="58" spans="2:7" ht="20.100000000000001" customHeight="1" thickBot="1" x14ac:dyDescent="0.25">
      <c r="B58" s="9" t="s">
        <v>76</v>
      </c>
      <c r="C58" s="14">
        <f>[685]NºAsuntos!$E$36/Población!$L$58*1000</f>
        <v>147.15211055845614</v>
      </c>
      <c r="D58" s="14">
        <f>[685]NºAsuntos!$E$17/Población!$L$58*1000</f>
        <v>35.007774928686914</v>
      </c>
      <c r="E58" s="14">
        <f>[685]NºAsuntos!$E$28/Población!$L$58*1000</f>
        <v>102.35101485989681</v>
      </c>
      <c r="F58" s="14">
        <f>[685]NºAsuntos!$E$31/Población!$L$58*1000</f>
        <v>3.6712080488533267</v>
      </c>
      <c r="G58" s="14">
        <f>[685]NºAsuntos!$E$35/Población!$L$58*1000</f>
        <v>6.1221127210190822</v>
      </c>
    </row>
    <row r="59" spans="2:7" ht="20.100000000000001" customHeight="1" thickBot="1" x14ac:dyDescent="0.25">
      <c r="B59" s="9" t="s">
        <v>77</v>
      </c>
      <c r="C59" s="14">
        <f>[686]NºAsuntos!$E$36/Población!$L$59*1000</f>
        <v>171.26910604858762</v>
      </c>
      <c r="D59" s="14">
        <f>[686]NºAsuntos!$E$17/Población!$L$59*1000</f>
        <v>40.703743737490399</v>
      </c>
      <c r="E59" s="14">
        <f>[686]NºAsuntos!$E$28/Población!$L$59*1000</f>
        <v>119.99975340405157</v>
      </c>
      <c r="F59" s="14">
        <f>[686]NºAsuntos!$E$31/Población!$L$59*1000</f>
        <v>2.785506734124358</v>
      </c>
      <c r="G59" s="14">
        <f>[686]NºAsuntos!$E$35/Población!$L$59*1000</f>
        <v>7.7801021729212989</v>
      </c>
    </row>
    <row r="60" spans="2:7" ht="20.100000000000001" customHeight="1" thickBot="1" x14ac:dyDescent="0.25">
      <c r="B60" s="9" t="s">
        <v>78</v>
      </c>
      <c r="C60" s="14">
        <f>[687]NºAsuntos!$E$61/Población!$L$60*1000</f>
        <v>230.22127353280629</v>
      </c>
      <c r="D60" s="14">
        <f>[687]NºAsuntos!$E$21/Población!$L$60*1000</f>
        <v>26.284764020402339</v>
      </c>
      <c r="E60" s="14">
        <f>[687]NºAsuntos!$E$40/Población!$L$60*1000</f>
        <v>187.56748036088808</v>
      </c>
      <c r="F60" s="14">
        <f>[687]NºAsuntos!$E$47/Población!$L$60*1000</f>
        <v>7.4461087876493872</v>
      </c>
      <c r="G60" s="14">
        <f>[687]NºAsuntos!$E$54/Población!$L$60*1000</f>
        <v>8.9229203638665151</v>
      </c>
    </row>
    <row r="61" spans="2:7" ht="20.100000000000001" customHeight="1" thickBot="1" x14ac:dyDescent="0.25">
      <c r="B61" s="9" t="s">
        <v>79</v>
      </c>
      <c r="C61" s="14">
        <f>[688]NºAsuntos!$E$61/Población!$L$61*1000</f>
        <v>262.01436199594917</v>
      </c>
      <c r="D61" s="14">
        <f>[688]NºAsuntos!$E$21/Población!$L$61*1000</f>
        <v>32.275034852828995</v>
      </c>
      <c r="E61" s="14">
        <f>[688]NºAsuntos!$E$40/Población!$L$61*1000</f>
        <v>203.34324118157664</v>
      </c>
      <c r="F61" s="14">
        <f>[688]NºAsuntos!$E$47/Población!$L$61*1000</f>
        <v>19.688560380882237</v>
      </c>
      <c r="G61" s="14">
        <f>[688]NºAsuntos!$E$54/Población!$L$61*1000</f>
        <v>6.707525580661283</v>
      </c>
    </row>
    <row r="62" spans="2:7" ht="20.100000000000001" customHeight="1" thickBot="1" x14ac:dyDescent="0.25">
      <c r="B62" s="12" t="s">
        <v>6</v>
      </c>
      <c r="C62" s="15">
        <f>[689]NºAsuntos!$E$60/Población!$S$62*1000</f>
        <v>202.43709263728789</v>
      </c>
      <c r="D62" s="15">
        <f>[689]NºAsuntos!$E$20/Población!$S$62*1000</f>
        <v>44.173777571531403</v>
      </c>
      <c r="E62" s="15">
        <f>[689]NºAsuntos!$E$39/Población!$S$62*1000</f>
        <v>142.54346354596777</v>
      </c>
      <c r="F62" s="15">
        <f>[689]NºAsuntos!$E$46/Población!$S$62*1000</f>
        <v>6.1727687278735708</v>
      </c>
      <c r="G62" s="15">
        <f>[689]NºAsuntos!$E$53/Población!$S$62*1000</f>
        <v>9.5403835066000404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X66"/>
  <sheetViews>
    <sheetView workbookViewId="0"/>
  </sheetViews>
  <sheetFormatPr baseColWidth="10" defaultColWidth="11.42578125" defaultRowHeight="12.75" x14ac:dyDescent="0.2"/>
  <cols>
    <col min="1" max="1" width="8.7109375" style="1" customWidth="1"/>
    <col min="2" max="2" width="32.140625" style="1" bestFit="1" customWidth="1"/>
    <col min="3" max="23" width="8.28515625" style="1" bestFit="1" customWidth="1"/>
    <col min="24" max="24" width="7.7109375" style="1" bestFit="1" customWidth="1"/>
    <col min="25" max="16384" width="11.42578125" style="1"/>
  </cols>
  <sheetData>
    <row r="1" spans="1:24" ht="15" thickBot="1" x14ac:dyDescent="0.25">
      <c r="A1" s="14"/>
    </row>
    <row r="12" spans="1:24" ht="13.5" thickBot="1" x14ac:dyDescent="0.25"/>
    <row r="13" spans="1:24" ht="20.100000000000001" customHeight="1" thickBot="1" x14ac:dyDescent="0.25">
      <c r="B13" s="10"/>
      <c r="C13" s="10">
        <v>2001</v>
      </c>
      <c r="D13" s="10">
        <v>2002</v>
      </c>
      <c r="E13" s="10">
        <v>2003</v>
      </c>
      <c r="F13" s="10">
        <v>2004</v>
      </c>
      <c r="G13" s="10">
        <v>2005</v>
      </c>
      <c r="H13" s="10">
        <v>2006</v>
      </c>
      <c r="I13" s="10">
        <v>2007</v>
      </c>
      <c r="J13" s="10">
        <v>2008</v>
      </c>
      <c r="K13" s="10">
        <v>2009</v>
      </c>
      <c r="L13" s="10">
        <v>2010</v>
      </c>
      <c r="M13" s="10">
        <v>2011</v>
      </c>
      <c r="N13" s="10">
        <v>2012</v>
      </c>
      <c r="O13" s="10">
        <v>2013</v>
      </c>
      <c r="P13" s="10">
        <v>2014</v>
      </c>
      <c r="Q13" s="10">
        <v>2015</v>
      </c>
      <c r="R13" s="10">
        <v>2016</v>
      </c>
      <c r="S13" s="10">
        <v>2017</v>
      </c>
      <c r="T13" s="10">
        <v>2018</v>
      </c>
      <c r="U13" s="10">
        <v>2019</v>
      </c>
      <c r="V13" s="10">
        <v>2020</v>
      </c>
      <c r="W13" s="10">
        <v>2021</v>
      </c>
      <c r="X13" s="10">
        <v>2022</v>
      </c>
    </row>
    <row r="14" spans="1:24" ht="20.100000000000001" customHeight="1" thickBot="1" x14ac:dyDescent="0.25">
      <c r="B14" s="9" t="s">
        <v>31</v>
      </c>
      <c r="C14" s="14">
        <f>'2001'!$C10</f>
        <v>104.77479219021845</v>
      </c>
      <c r="D14" s="14">
        <f>'2002'!$C10</f>
        <v>118.85568887561965</v>
      </c>
      <c r="E14" s="14">
        <f>'2003'!$C10</f>
        <v>112.41621432137585</v>
      </c>
      <c r="F14" s="14">
        <f>'2004'!$C10</f>
        <v>113.04052202146275</v>
      </c>
      <c r="G14" s="14">
        <f>'2005'!$C10</f>
        <v>121.18864392678869</v>
      </c>
      <c r="H14" s="14">
        <f>'2006'!$C10</f>
        <v>122.03024315246945</v>
      </c>
      <c r="I14" s="14">
        <f>'2007'!$C10</f>
        <v>131.49116319400167</v>
      </c>
      <c r="J14" s="14">
        <f>'2008'!$C10</f>
        <v>137.12442734840613</v>
      </c>
      <c r="K14" s="14">
        <f>'2009'!$C10</f>
        <v>141.98123679503905</v>
      </c>
      <c r="L14" s="14">
        <f>'2010'!$C10</f>
        <v>136.64540606748622</v>
      </c>
      <c r="M14" s="14">
        <f>'2011'!$C10</f>
        <v>141.52734901247271</v>
      </c>
      <c r="N14" s="14">
        <f>'2012'!$C10</f>
        <v>143.00573184687605</v>
      </c>
      <c r="O14" s="14">
        <f>'2013'!$C10</f>
        <v>139.43005997395045</v>
      </c>
      <c r="P14" s="14">
        <f>'2014'!$C10</f>
        <v>139.75520608987196</v>
      </c>
      <c r="Q14" s="14">
        <f>'2015'!$C10</f>
        <v>139.76633382330581</v>
      </c>
      <c r="R14" s="14">
        <f>'2016'!$C10</f>
        <v>93.165832734023937</v>
      </c>
      <c r="S14" s="14">
        <f>'2017'!$C10</f>
        <v>92.910325306641511</v>
      </c>
      <c r="T14" s="14">
        <f>'2018'!$C10</f>
        <v>95.75190464677226</v>
      </c>
      <c r="U14" s="14">
        <f>'2019'!$C10</f>
        <v>101.54392310526138</v>
      </c>
      <c r="V14" s="14">
        <f>'2020'!$C10</f>
        <v>89.68243747907384</v>
      </c>
      <c r="W14" s="14">
        <f>'2021'!$C10</f>
        <v>99.750558913637491</v>
      </c>
      <c r="X14" s="14">
        <f>'2022'!$C10</f>
        <v>106.90775854930861</v>
      </c>
    </row>
    <row r="15" spans="1:24" ht="20.100000000000001" customHeight="1" thickBot="1" x14ac:dyDescent="0.25">
      <c r="B15" s="9" t="s">
        <v>32</v>
      </c>
      <c r="C15" s="14">
        <f>'2001'!$C11</f>
        <v>214.05723143199364</v>
      </c>
      <c r="D15" s="14">
        <f>'2002'!$C11</f>
        <v>222.48852351267806</v>
      </c>
      <c r="E15" s="14">
        <f>'2003'!$C11</f>
        <v>206.31249812386935</v>
      </c>
      <c r="F15" s="14">
        <f>'2004'!$C11</f>
        <v>211.24837058851929</v>
      </c>
      <c r="G15" s="14">
        <f>'2005'!$C11</f>
        <v>203.71463914859768</v>
      </c>
      <c r="H15" s="14">
        <f>'2006'!$C11</f>
        <v>210.81828146594864</v>
      </c>
      <c r="I15" s="14">
        <f>'2007'!$C11</f>
        <v>207.61435058161447</v>
      </c>
      <c r="J15" s="14">
        <f>'2008'!$C11</f>
        <v>207.86295577477284</v>
      </c>
      <c r="K15" s="14">
        <f>'2009'!$C11</f>
        <v>212.98719048185404</v>
      </c>
      <c r="L15" s="14">
        <f>'2010'!$C11</f>
        <v>201.54650012848566</v>
      </c>
      <c r="M15" s="14">
        <f>'2011'!$C11</f>
        <v>191.86589091616011</v>
      </c>
      <c r="N15" s="14">
        <f>'2012'!$C11</f>
        <v>190.05458071618543</v>
      </c>
      <c r="O15" s="14">
        <f>'2013'!$C11</f>
        <v>180.68997276991348</v>
      </c>
      <c r="P15" s="14">
        <f>'2014'!$C11</f>
        <v>184.18700540237353</v>
      </c>
      <c r="Q15" s="14">
        <f>'2015'!$C11</f>
        <v>179.39545467042075</v>
      </c>
      <c r="R15" s="14">
        <f>'2016'!$C11</f>
        <v>116.80794398350304</v>
      </c>
      <c r="S15" s="14">
        <f>'2017'!$C11</f>
        <v>117.18251802959681</v>
      </c>
      <c r="T15" s="14">
        <f>'2018'!$C11</f>
        <v>120.22879902807182</v>
      </c>
      <c r="U15" s="14">
        <f>'2019'!$C11</f>
        <v>123.1339609820502</v>
      </c>
      <c r="V15" s="14">
        <f>'2020'!$C11</f>
        <v>111.130556714017</v>
      </c>
      <c r="W15" s="14">
        <f>'2021'!$C11</f>
        <v>122.45916327357018</v>
      </c>
      <c r="X15" s="14">
        <f>'2022'!$C11</f>
        <v>131.4571130674336</v>
      </c>
    </row>
    <row r="16" spans="1:24" ht="20.100000000000001" customHeight="1" thickBot="1" x14ac:dyDescent="0.25">
      <c r="B16" s="9" t="s">
        <v>33</v>
      </c>
      <c r="C16" s="14">
        <f>'2001'!$C12</f>
        <v>181.76822314917624</v>
      </c>
      <c r="D16" s="14">
        <f>'2002'!$C12</f>
        <v>187.55969829715755</v>
      </c>
      <c r="E16" s="14">
        <f>'2003'!$C12</f>
        <v>182.70152659602695</v>
      </c>
      <c r="F16" s="14">
        <f>'2004'!$C12</f>
        <v>185.9666906290027</v>
      </c>
      <c r="G16" s="14">
        <f>'2005'!$C12</f>
        <v>193.18814662387823</v>
      </c>
      <c r="H16" s="14">
        <f>'2006'!$C12</f>
        <v>197.56860894865142</v>
      </c>
      <c r="I16" s="14">
        <f>'2007'!$C12</f>
        <v>193.50234213224505</v>
      </c>
      <c r="J16" s="14">
        <f>'2008'!$C12</f>
        <v>227.41468017704284</v>
      </c>
      <c r="K16" s="14">
        <f>'2009'!$C12</f>
        <v>257.88324815246642</v>
      </c>
      <c r="L16" s="14">
        <f>'2010'!$C12</f>
        <v>230.92616021622862</v>
      </c>
      <c r="M16" s="14">
        <f>'2011'!$C12</f>
        <v>211.54237435242928</v>
      </c>
      <c r="N16" s="14">
        <f>'2012'!$C12</f>
        <v>226.14555983294971</v>
      </c>
      <c r="O16" s="14">
        <f>'2013'!$C12</f>
        <v>210.58042781008652</v>
      </c>
      <c r="P16" s="14">
        <f>'2014'!$C12</f>
        <v>202.15394876355302</v>
      </c>
      <c r="Q16" s="14">
        <f>'2015'!$C12</f>
        <v>195.40338072277817</v>
      </c>
      <c r="R16" s="14">
        <f>'2016'!$C12</f>
        <v>129.15431983949955</v>
      </c>
      <c r="S16" s="14">
        <f>'2017'!$C12</f>
        <v>128.41035161998775</v>
      </c>
      <c r="T16" s="14">
        <f>'2018'!$C12</f>
        <v>130.96258493811146</v>
      </c>
      <c r="U16" s="14">
        <f>'2019'!$C12</f>
        <v>130.20563042325827</v>
      </c>
      <c r="V16" s="14">
        <f>'2020'!$C12</f>
        <v>114.76965979572633</v>
      </c>
      <c r="W16" s="14">
        <f>'2021'!$C12</f>
        <v>126.59198242123446</v>
      </c>
      <c r="X16" s="14">
        <f>'2022'!$C12</f>
        <v>134.82382972210684</v>
      </c>
    </row>
    <row r="17" spans="2:24" ht="20.100000000000001" customHeight="1" thickBot="1" x14ac:dyDescent="0.25">
      <c r="B17" s="9" t="s">
        <v>34</v>
      </c>
      <c r="C17" s="14">
        <f>'2001'!$C13</f>
        <v>101.43251394597515</v>
      </c>
      <c r="D17" s="14">
        <f>'2002'!$C13</f>
        <v>125.27924347289796</v>
      </c>
      <c r="E17" s="14">
        <f>'2003'!$C13</f>
        <v>122.0342437831227</v>
      </c>
      <c r="F17" s="14">
        <f>'2004'!$C13</f>
        <v>119.92362413612477</v>
      </c>
      <c r="G17" s="14">
        <f>'2005'!$C13</f>
        <v>121.76411952379841</v>
      </c>
      <c r="H17" s="14">
        <f>'2006'!$C13</f>
        <v>115.00168915562091</v>
      </c>
      <c r="I17" s="14">
        <f>'2007'!$C13</f>
        <v>130.42666937297639</v>
      </c>
      <c r="J17" s="14">
        <f>'2008'!$C13</f>
        <v>148.11310090913497</v>
      </c>
      <c r="K17" s="14">
        <f>'2009'!$C13</f>
        <v>161.62182659431073</v>
      </c>
      <c r="L17" s="14">
        <f>'2010'!$C13</f>
        <v>148.29589856058885</v>
      </c>
      <c r="M17" s="14">
        <f>'2011'!$C13</f>
        <v>149.45790926206118</v>
      </c>
      <c r="N17" s="14">
        <f>'2012'!$C13</f>
        <v>147.48711080522204</v>
      </c>
      <c r="O17" s="14">
        <f>'2013'!$C13</f>
        <v>143.26560200611667</v>
      </c>
      <c r="P17" s="14">
        <f>'2014'!$C13</f>
        <v>142.53320577016265</v>
      </c>
      <c r="Q17" s="14">
        <f>'2015'!$C13</f>
        <v>138.88545580383627</v>
      </c>
      <c r="R17" s="14">
        <f>'2016'!$C13</f>
        <v>85.078025212417387</v>
      </c>
      <c r="S17" s="14">
        <f>'2017'!$C13</f>
        <v>95.151481746862885</v>
      </c>
      <c r="T17" s="14">
        <f>'2018'!$C13</f>
        <v>95.761825413235698</v>
      </c>
      <c r="U17" s="14">
        <f>'2019'!$C13</f>
        <v>96.643331754883889</v>
      </c>
      <c r="V17" s="14">
        <f>'2020'!$C13</f>
        <v>87.78523087979876</v>
      </c>
      <c r="W17" s="14">
        <f>'2021'!$C13</f>
        <v>107.85130655284659</v>
      </c>
      <c r="X17" s="14">
        <f>'2022'!$C13</f>
        <v>108.00417233668838</v>
      </c>
    </row>
    <row r="18" spans="2:24" ht="20.100000000000001" customHeight="1" thickBot="1" x14ac:dyDescent="0.25">
      <c r="B18" s="9" t="s">
        <v>35</v>
      </c>
      <c r="C18" s="14">
        <f>'2001'!$C14</f>
        <v>112.49394371397032</v>
      </c>
      <c r="D18" s="14">
        <f>'2002'!$C14</f>
        <v>123.49681695315795</v>
      </c>
      <c r="E18" s="14">
        <f>'2003'!$C14</f>
        <v>127.24420461213282</v>
      </c>
      <c r="F18" s="14">
        <f>'2004'!$C14</f>
        <v>126.96773304301423</v>
      </c>
      <c r="G18" s="14">
        <f>'2005'!$C14</f>
        <v>133.7054805017485</v>
      </c>
      <c r="H18" s="14">
        <f>'2006'!$C14</f>
        <v>139.36164680711971</v>
      </c>
      <c r="I18" s="14">
        <f>'2007'!$C14</f>
        <v>143.3123507947997</v>
      </c>
      <c r="J18" s="14">
        <f>'2008'!$C14</f>
        <v>147.56355206464357</v>
      </c>
      <c r="K18" s="14">
        <f>'2009'!$C14</f>
        <v>156.90843637040456</v>
      </c>
      <c r="L18" s="14">
        <f>'2010'!$C14</f>
        <v>154.21716969108425</v>
      </c>
      <c r="M18" s="14">
        <f>'2011'!$C14</f>
        <v>157.43693636631787</v>
      </c>
      <c r="N18" s="14">
        <f>'2012'!$C14</f>
        <v>160.07462686567163</v>
      </c>
      <c r="O18" s="14">
        <f>'2013'!$C14</f>
        <v>157.72095135114895</v>
      </c>
      <c r="P18" s="14">
        <f>'2014'!$C14</f>
        <v>160.21006709639505</v>
      </c>
      <c r="Q18" s="14">
        <f>'2015'!$C14</f>
        <v>154.6190221160185</v>
      </c>
      <c r="R18" s="14">
        <f>'2016'!$C14</f>
        <v>114.30374599082302</v>
      </c>
      <c r="S18" s="14">
        <f>'2017'!$C14</f>
        <v>119.33987786967612</v>
      </c>
      <c r="T18" s="14">
        <f>'2018'!$C14</f>
        <v>127.71871267909174</v>
      </c>
      <c r="U18" s="14">
        <f>'2019'!$C14</f>
        <v>130.7870551427454</v>
      </c>
      <c r="V18" s="14">
        <f>'2020'!$C14</f>
        <v>111.44756886641331</v>
      </c>
      <c r="W18" s="14">
        <f>'2021'!$C14</f>
        <v>126.28979078703922</v>
      </c>
      <c r="X18" s="14">
        <f>'2022'!$C14</f>
        <v>136.27800970950551</v>
      </c>
    </row>
    <row r="19" spans="2:24" ht="20.100000000000001" customHeight="1" thickBot="1" x14ac:dyDescent="0.25">
      <c r="B19" s="9" t="s">
        <v>36</v>
      </c>
      <c r="C19" s="14">
        <f>'2001'!$C15</f>
        <v>89.03804497055863</v>
      </c>
      <c r="D19" s="14">
        <f>'2002'!$C15</f>
        <v>96.052998098559996</v>
      </c>
      <c r="E19" s="14">
        <f>'2003'!$C15</f>
        <v>102.71331883007009</v>
      </c>
      <c r="F19" s="14">
        <f>'2004'!$C15</f>
        <v>109.23615960700268</v>
      </c>
      <c r="G19" s="14">
        <f>'2005'!$C15</f>
        <v>116.88179510512956</v>
      </c>
      <c r="H19" s="14">
        <f>'2006'!$C15</f>
        <v>121.35766127590604</v>
      </c>
      <c r="I19" s="14">
        <f>'2007'!$C15</f>
        <v>123.8570191771724</v>
      </c>
      <c r="J19" s="14">
        <f>'2008'!$C15</f>
        <v>126.5838256264005</v>
      </c>
      <c r="K19" s="14">
        <f>'2009'!$C15</f>
        <v>140.32502329916122</v>
      </c>
      <c r="L19" s="14">
        <f>'2010'!$C15</f>
        <v>137.51338018336668</v>
      </c>
      <c r="M19" s="14">
        <f>'2011'!$C15</f>
        <v>130.40230683713176</v>
      </c>
      <c r="N19" s="14">
        <f>'2012'!$C15</f>
        <v>132.47306805243338</v>
      </c>
      <c r="O19" s="14">
        <f>'2013'!$C15</f>
        <v>127.97275285058492</v>
      </c>
      <c r="P19" s="14">
        <f>'2014'!$C15</f>
        <v>132.29350657126608</v>
      </c>
      <c r="Q19" s="14">
        <f>'2015'!$C15</f>
        <v>145.02955889040473</v>
      </c>
      <c r="R19" s="14">
        <f>'2016'!$C15</f>
        <v>100.75439654429773</v>
      </c>
      <c r="S19" s="14">
        <f>'2017'!$C15</f>
        <v>95.252022401991297</v>
      </c>
      <c r="T19" s="14">
        <f>'2018'!$C15</f>
        <v>100.91609988769575</v>
      </c>
      <c r="U19" s="14">
        <f>'2019'!$C15</f>
        <v>96.733062674448107</v>
      </c>
      <c r="V19" s="14">
        <f>'2020'!$C15</f>
        <v>79.605997564440841</v>
      </c>
      <c r="W19" s="14">
        <f>'2021'!$C15</f>
        <v>89.489398501461295</v>
      </c>
      <c r="X19" s="14">
        <f>'2022'!$C15</f>
        <v>97.259832976688699</v>
      </c>
    </row>
    <row r="20" spans="2:24" ht="20.100000000000001" customHeight="1" thickBot="1" x14ac:dyDescent="0.25">
      <c r="B20" s="9" t="s">
        <v>37</v>
      </c>
      <c r="C20" s="14">
        <f>'2001'!$C16</f>
        <v>154.0938590984432</v>
      </c>
      <c r="D20" s="14">
        <f>'2002'!$C16</f>
        <v>119.35583155302893</v>
      </c>
      <c r="E20" s="14">
        <f>'2003'!$C16</f>
        <v>120.56995334332616</v>
      </c>
      <c r="F20" s="14">
        <f>'2004'!$C16</f>
        <v>126.63429211804258</v>
      </c>
      <c r="G20" s="14">
        <f>'2005'!$C16</f>
        <v>129.60096767610261</v>
      </c>
      <c r="H20" s="14">
        <f>'2006'!$C16</f>
        <v>137.06839462250954</v>
      </c>
      <c r="I20" s="14">
        <f>'2007'!$C16</f>
        <v>136.52704142770602</v>
      </c>
      <c r="J20" s="14">
        <f>'2008'!$C16</f>
        <v>140.55390326977465</v>
      </c>
      <c r="K20" s="14">
        <f>'2009'!$C16</f>
        <v>155.87483321887927</v>
      </c>
      <c r="L20" s="14">
        <f>'2010'!$C16</f>
        <v>151.77342058002969</v>
      </c>
      <c r="M20" s="14">
        <f>'2011'!$C16</f>
        <v>146.07858819663909</v>
      </c>
      <c r="N20" s="14">
        <f>'2012'!$C16</f>
        <v>141.125043734423</v>
      </c>
      <c r="O20" s="14">
        <f>'2013'!$C16</f>
        <v>143.88904024482181</v>
      </c>
      <c r="P20" s="14">
        <f>'2014'!$C16</f>
        <v>145.42594101564706</v>
      </c>
      <c r="Q20" s="14">
        <f>'2015'!$C16</f>
        <v>139.73322848863452</v>
      </c>
      <c r="R20" s="14">
        <f>'2016'!$C16</f>
        <v>98.312705649505276</v>
      </c>
      <c r="S20" s="14">
        <f>'2017'!$C16</f>
        <v>102.68810561801719</v>
      </c>
      <c r="T20" s="14">
        <f>'2018'!$C16</f>
        <v>99.526003288111937</v>
      </c>
      <c r="U20" s="14">
        <f>'2019'!$C16</f>
        <v>100.50641443437027</v>
      </c>
      <c r="V20" s="14">
        <f>'2020'!$C16</f>
        <v>90.64967409917918</v>
      </c>
      <c r="W20" s="14">
        <f>'2021'!$C16</f>
        <v>104.06407709312583</v>
      </c>
      <c r="X20" s="14">
        <f>'2022'!$C16</f>
        <v>112.6349555111405</v>
      </c>
    </row>
    <row r="21" spans="2:24" ht="20.100000000000001" customHeight="1" thickBot="1" x14ac:dyDescent="0.25">
      <c r="B21" s="9" t="s">
        <v>29</v>
      </c>
      <c r="C21" s="14">
        <f>'2001'!$C17</f>
        <v>191.58755649439411</v>
      </c>
      <c r="D21" s="14">
        <f>'2002'!$C17</f>
        <v>212.20587850393906</v>
      </c>
      <c r="E21" s="14">
        <f>'2003'!$C17</f>
        <v>206.96334343507914</v>
      </c>
      <c r="F21" s="14">
        <f>'2004'!$C17</f>
        <v>198.72885570836976</v>
      </c>
      <c r="G21" s="14">
        <f>'2005'!$C17</f>
        <v>199.26845964576441</v>
      </c>
      <c r="H21" s="14">
        <f>'2006'!$C17</f>
        <v>205.00928014448655</v>
      </c>
      <c r="I21" s="14">
        <f>'2007'!$C17</f>
        <v>192.78125454810072</v>
      </c>
      <c r="J21" s="14">
        <f>'2008'!$C17</f>
        <v>197.96447572992903</v>
      </c>
      <c r="K21" s="14">
        <f>'2009'!$C17</f>
        <v>202.78777388887974</v>
      </c>
      <c r="L21" s="14">
        <f>'2010'!$C17</f>
        <v>198.99480041119335</v>
      </c>
      <c r="M21" s="14">
        <f>'2011'!$C17</f>
        <v>193.85615489518594</v>
      </c>
      <c r="N21" s="14">
        <f>'2012'!$C17</f>
        <v>199.32841360717288</v>
      </c>
      <c r="O21" s="14">
        <f>'2013'!$C17</f>
        <v>190.43532546411987</v>
      </c>
      <c r="P21" s="14">
        <f>'2014'!$C17</f>
        <v>192.50218860619771</v>
      </c>
      <c r="Q21" s="14">
        <f>'2015'!$C17</f>
        <v>187.92480436477288</v>
      </c>
      <c r="R21" s="14">
        <f>'2016'!$C17</f>
        <v>127.64942829789925</v>
      </c>
      <c r="S21" s="14">
        <f>'2017'!$C17</f>
        <v>130.68918520536309</v>
      </c>
      <c r="T21" s="14">
        <f>'2018'!$C17</f>
        <v>126.87304899956418</v>
      </c>
      <c r="U21" s="14">
        <f>'2019'!$C17</f>
        <v>132.62575470220798</v>
      </c>
      <c r="V21" s="14">
        <f>'2020'!$C17</f>
        <v>112.60790256951729</v>
      </c>
      <c r="W21" s="14">
        <f>'2021'!$C17</f>
        <v>125.42710706150342</v>
      </c>
      <c r="X21" s="14">
        <f>'2022'!$C17</f>
        <v>136.89591204834068</v>
      </c>
    </row>
    <row r="22" spans="2:24" ht="20.100000000000001" customHeight="1" thickBot="1" x14ac:dyDescent="0.25">
      <c r="B22" s="9" t="s">
        <v>38</v>
      </c>
      <c r="C22" s="14">
        <f>'2001'!$C18</f>
        <v>146.4463475256868</v>
      </c>
      <c r="D22" s="14">
        <f>'2002'!$C18</f>
        <v>159.52473208445701</v>
      </c>
      <c r="E22" s="14">
        <f>'2003'!$C18</f>
        <v>157.96195513418064</v>
      </c>
      <c r="F22" s="14">
        <f>'2004'!$C18</f>
        <v>158.01410152826804</v>
      </c>
      <c r="G22" s="14">
        <f>'2005'!$C18</f>
        <v>161.62548499393651</v>
      </c>
      <c r="H22" s="14">
        <f>'2006'!$C18</f>
        <v>164.71377955039776</v>
      </c>
      <c r="I22" s="14">
        <f>'2007'!$C18</f>
        <v>168.37033496214639</v>
      </c>
      <c r="J22" s="14">
        <f>'2008'!$C18</f>
        <v>178.27295273082152</v>
      </c>
      <c r="K22" s="14">
        <f>'2009'!$C18</f>
        <v>189.57422054014853</v>
      </c>
      <c r="L22" s="14">
        <f>'2010'!$C18</f>
        <v>186.73771539753884</v>
      </c>
      <c r="M22" s="14">
        <f>'2011'!$C18</f>
        <v>178.70090587996344</v>
      </c>
      <c r="N22" s="14">
        <f>'2012'!$C18</f>
        <v>179.7948505506975</v>
      </c>
      <c r="O22" s="14">
        <f>'2013'!$C18</f>
        <v>172.60276939319698</v>
      </c>
      <c r="P22" s="14">
        <f>'2014'!$C18</f>
        <v>171.39301609186748</v>
      </c>
      <c r="Q22" s="14">
        <f>'2015'!$C18</f>
        <v>160.4088544334985</v>
      </c>
      <c r="R22" s="14">
        <f>'2016'!$C18</f>
        <v>105.93214834700902</v>
      </c>
      <c r="S22" s="14">
        <f>'2017'!$C18</f>
        <v>110.8787477557986</v>
      </c>
      <c r="T22" s="14">
        <f>'2018'!$C18</f>
        <v>114.96251793879861</v>
      </c>
      <c r="U22" s="14">
        <f>'2019'!$C18</f>
        <v>125.70395787577507</v>
      </c>
      <c r="V22" s="14">
        <f>'2020'!$C18</f>
        <v>105.3579394233592</v>
      </c>
      <c r="W22" s="14">
        <f>'2021'!$C18</f>
        <v>122.74490658351313</v>
      </c>
      <c r="X22" s="14">
        <f>'2022'!$C18</f>
        <v>136.83201131112054</v>
      </c>
    </row>
    <row r="23" spans="2:24" ht="20.100000000000001" customHeight="1" thickBot="1" x14ac:dyDescent="0.25">
      <c r="B23" s="9" t="s">
        <v>39</v>
      </c>
      <c r="C23" s="14">
        <f>'2001'!$C19</f>
        <v>108.79503732950974</v>
      </c>
      <c r="D23" s="14">
        <f>'2002'!$C19</f>
        <v>122.61655626568229</v>
      </c>
      <c r="E23" s="14">
        <f>'2003'!$C19</f>
        <v>119.8391075568982</v>
      </c>
      <c r="F23" s="14">
        <f>'2004'!$C19</f>
        <v>119.73225311843201</v>
      </c>
      <c r="G23" s="14">
        <f>'2005'!$C19</f>
        <v>122.88711041638612</v>
      </c>
      <c r="H23" s="14">
        <f>'2006'!$C19</f>
        <v>118.59495395499283</v>
      </c>
      <c r="I23" s="14">
        <f>'2007'!$C19</f>
        <v>124.04234237470182</v>
      </c>
      <c r="J23" s="14">
        <f>'2008'!$C19</f>
        <v>135.79740775858085</v>
      </c>
      <c r="K23" s="14">
        <f>'2009'!$C19</f>
        <v>143.71565546762352</v>
      </c>
      <c r="L23" s="14">
        <f>'2010'!$C19</f>
        <v>136.04293574546426</v>
      </c>
      <c r="M23" s="14">
        <f>'2011'!$C19</f>
        <v>130.66677510789327</v>
      </c>
      <c r="N23" s="14">
        <f>'2012'!$C19</f>
        <v>133.78520578122803</v>
      </c>
      <c r="O23" s="14">
        <f>'2013'!$C19</f>
        <v>133.34982061434721</v>
      </c>
      <c r="P23" s="14">
        <f>'2014'!$C19</f>
        <v>128.33523597866142</v>
      </c>
      <c r="Q23" s="14">
        <f>'2015'!$C19</f>
        <v>123.06326304106548</v>
      </c>
      <c r="R23" s="14">
        <f>'2016'!$C19</f>
        <v>84.153032130333855</v>
      </c>
      <c r="S23" s="14">
        <f>'2017'!$C19</f>
        <v>92.382491713852275</v>
      </c>
      <c r="T23" s="14">
        <f>'2018'!$C19</f>
        <v>92.996169195600658</v>
      </c>
      <c r="U23" s="14">
        <f>'2019'!$C19</f>
        <v>94.889086115398328</v>
      </c>
      <c r="V23" s="14">
        <f>'2020'!$C19</f>
        <v>84.84160066514697</v>
      </c>
      <c r="W23" s="14">
        <f>'2021'!$C19</f>
        <v>98.735721203741733</v>
      </c>
      <c r="X23" s="14">
        <f>'2022'!$C19</f>
        <v>103.22922135187909</v>
      </c>
    </row>
    <row r="24" spans="2:24" ht="20.100000000000001" customHeight="1" thickBot="1" x14ac:dyDescent="0.25">
      <c r="B24" s="9" t="s">
        <v>40</v>
      </c>
      <c r="C24" s="14">
        <f>'2001'!$C20</f>
        <v>189.69154683971297</v>
      </c>
      <c r="D24" s="14">
        <f>'2002'!$C20</f>
        <v>136.67098544750414</v>
      </c>
      <c r="E24" s="14">
        <f>'2003'!$C20</f>
        <v>136.78579974944046</v>
      </c>
      <c r="F24" s="14">
        <f>'2004'!$C20</f>
        <v>134.11346184599242</v>
      </c>
      <c r="G24" s="14">
        <f>'2005'!$C20</f>
        <v>136.59870201456425</v>
      </c>
      <c r="H24" s="14">
        <f>'2006'!$C20</f>
        <v>144.70943238593577</v>
      </c>
      <c r="I24" s="14">
        <f>'2007'!$C20</f>
        <v>153.53087121419125</v>
      </c>
      <c r="J24" s="14">
        <f>'2008'!$C20</f>
        <v>155.6900169132287</v>
      </c>
      <c r="K24" s="14">
        <f>'2009'!$C20</f>
        <v>169.81971067437422</v>
      </c>
      <c r="L24" s="14">
        <f>'2010'!$C20</f>
        <v>158.91907178264049</v>
      </c>
      <c r="M24" s="14">
        <f>'2011'!$C20</f>
        <v>149.40757126847097</v>
      </c>
      <c r="N24" s="14">
        <f>'2012'!$C20</f>
        <v>145.98234525428703</v>
      </c>
      <c r="O24" s="14">
        <f>'2013'!$C20</f>
        <v>146.30112485454467</v>
      </c>
      <c r="P24" s="14">
        <f>'2014'!$C20</f>
        <v>153.14254565276642</v>
      </c>
      <c r="Q24" s="14">
        <f>'2015'!$C20</f>
        <v>148.30962467239192</v>
      </c>
      <c r="R24" s="14">
        <f>'2016'!$C20</f>
        <v>104.45297026274602</v>
      </c>
      <c r="S24" s="14">
        <f>'2017'!$C20</f>
        <v>106.56641659989224</v>
      </c>
      <c r="T24" s="14">
        <f>'2018'!$C20</f>
        <v>109.6395664715602</v>
      </c>
      <c r="U24" s="14">
        <f>'2019'!$C20</f>
        <v>109.10247143921693</v>
      </c>
      <c r="V24" s="14">
        <f>'2020'!$C20</f>
        <v>95.213197259890961</v>
      </c>
      <c r="W24" s="14">
        <f>'2021'!$C20</f>
        <v>110.31160916150596</v>
      </c>
      <c r="X24" s="14">
        <f>'2022'!$C20</f>
        <v>111.96584797292553</v>
      </c>
    </row>
    <row r="25" spans="2:24" ht="20.100000000000001" customHeight="1" thickBot="1" x14ac:dyDescent="0.25">
      <c r="B25" s="9" t="s">
        <v>41</v>
      </c>
      <c r="C25" s="14">
        <f>'2001'!$C21</f>
        <v>90.394251215994913</v>
      </c>
      <c r="D25" s="14">
        <f>'2002'!$C21</f>
        <v>99.012290306697011</v>
      </c>
      <c r="E25" s="14">
        <f>'2003'!$C21</f>
        <v>98.565592727662249</v>
      </c>
      <c r="F25" s="14">
        <f>'2004'!$C21</f>
        <v>98.925593718855595</v>
      </c>
      <c r="G25" s="14">
        <f>'2005'!$C21</f>
        <v>106.75990111008774</v>
      </c>
      <c r="H25" s="14">
        <f>'2006'!$C21</f>
        <v>111.52121947498055</v>
      </c>
      <c r="I25" s="14">
        <f>'2007'!$C21</f>
        <v>112.02315256930827</v>
      </c>
      <c r="J25" s="14">
        <f>'2008'!$C21</f>
        <v>118.26966433776649</v>
      </c>
      <c r="K25" s="14">
        <f>'2009'!$C21</f>
        <v>130.71007390609549</v>
      </c>
      <c r="L25" s="14">
        <f>'2010'!$C21</f>
        <v>119.7230433431386</v>
      </c>
      <c r="M25" s="14">
        <f>'2011'!$C21</f>
        <v>117.85887937301118</v>
      </c>
      <c r="N25" s="14">
        <f>'2012'!$C21</f>
        <v>125.03959167982359</v>
      </c>
      <c r="O25" s="14">
        <f>'2013'!$C21</f>
        <v>122.98092742672598</v>
      </c>
      <c r="P25" s="14">
        <f>'2014'!$C21</f>
        <v>124.43265647670802</v>
      </c>
      <c r="Q25" s="14">
        <f>'2015'!$C21</f>
        <v>130.20993583037756</v>
      </c>
      <c r="R25" s="14">
        <f>'2016'!$C21</f>
        <v>92.244806956263233</v>
      </c>
      <c r="S25" s="14">
        <f>'2017'!$C21</f>
        <v>93.259106680398759</v>
      </c>
      <c r="T25" s="14">
        <f>'2018'!$C21</f>
        <v>93.670158164075985</v>
      </c>
      <c r="U25" s="14">
        <f>'2019'!$C21</f>
        <v>94.385146809217787</v>
      </c>
      <c r="V25" s="14">
        <f>'2020'!$C21</f>
        <v>75.595253285696046</v>
      </c>
      <c r="W25" s="14">
        <f>'2021'!$C21</f>
        <v>95.300314715652107</v>
      </c>
      <c r="X25" s="14">
        <f>'2022'!$C21</f>
        <v>100.00821443790142</v>
      </c>
    </row>
    <row r="26" spans="2:24" ht="20.100000000000001" customHeight="1" thickBot="1" x14ac:dyDescent="0.25">
      <c r="B26" s="9" t="s">
        <v>42</v>
      </c>
      <c r="C26" s="14">
        <f>'2001'!$C22</f>
        <v>161.05948136113975</v>
      </c>
      <c r="D26" s="14">
        <f>'2002'!$C22</f>
        <v>164.73540773830135</v>
      </c>
      <c r="E26" s="14">
        <f>'2003'!$C22</f>
        <v>168.44765705306801</v>
      </c>
      <c r="F26" s="14">
        <f>'2004'!$C22</f>
        <v>165.61173643520038</v>
      </c>
      <c r="G26" s="14">
        <f>'2005'!$C22</f>
        <v>170.67081520675939</v>
      </c>
      <c r="H26" s="14">
        <f>'2006'!$C22</f>
        <v>180.48476544769031</v>
      </c>
      <c r="I26" s="14">
        <f>'2007'!$C22</f>
        <v>180.26940148739837</v>
      </c>
      <c r="J26" s="14">
        <f>'2008'!$C22</f>
        <v>198.33555516044268</v>
      </c>
      <c r="K26" s="14">
        <f>'2009'!$C22</f>
        <v>205.82905491169308</v>
      </c>
      <c r="L26" s="14">
        <f>'2010'!$C22</f>
        <v>201.79358781440547</v>
      </c>
      <c r="M26" s="14">
        <f>'2011'!$C22</f>
        <v>195.53058698741233</v>
      </c>
      <c r="N26" s="14">
        <f>'2012'!$C22</f>
        <v>198.73044835860978</v>
      </c>
      <c r="O26" s="14">
        <f>'2013'!$C22</f>
        <v>192.7892953688841</v>
      </c>
      <c r="P26" s="14">
        <f>'2014'!$C22</f>
        <v>197.23587396939948</v>
      </c>
      <c r="Q26" s="14">
        <f>'2015'!$C22</f>
        <v>189.92666195806768</v>
      </c>
      <c r="R26" s="14">
        <f>'2016'!$C22</f>
        <v>133.2159572348815</v>
      </c>
      <c r="S26" s="14">
        <f>'2017'!$C22</f>
        <v>130.79750047400628</v>
      </c>
      <c r="T26" s="14">
        <f>'2018'!$C22</f>
        <v>133.96231898565773</v>
      </c>
      <c r="U26" s="14">
        <f>'2019'!$C22</f>
        <v>146.16398756607038</v>
      </c>
      <c r="V26" s="14">
        <f>'2020'!$C22</f>
        <v>122.05708939117351</v>
      </c>
      <c r="W26" s="14">
        <f>'2021'!$C22</f>
        <v>137.2042441169861</v>
      </c>
      <c r="X26" s="14">
        <f>'2022'!$C22</f>
        <v>141.19233362226717</v>
      </c>
    </row>
    <row r="27" spans="2:24" ht="20.100000000000001" customHeight="1" thickBot="1" x14ac:dyDescent="0.25">
      <c r="B27" s="9" t="s">
        <v>5</v>
      </c>
      <c r="C27" s="14">
        <f>'2001'!$C23</f>
        <v>134.21167174473501</v>
      </c>
      <c r="D27" s="14">
        <f>'2002'!$C23</f>
        <v>143.87718408556543</v>
      </c>
      <c r="E27" s="14">
        <f>'2003'!$C23</f>
        <v>142.60583237824954</v>
      </c>
      <c r="F27" s="14">
        <f>'2004'!$C23</f>
        <v>146.54171713675953</v>
      </c>
      <c r="G27" s="14">
        <f>'2005'!$C23</f>
        <v>150.40129181642124</v>
      </c>
      <c r="H27" s="14">
        <f>'2006'!$C23</f>
        <v>158.64359759263922</v>
      </c>
      <c r="I27" s="14">
        <f>'2007'!$C23</f>
        <v>164.7940728740416</v>
      </c>
      <c r="J27" s="14">
        <f>'2008'!$C23</f>
        <v>173.43825690815578</v>
      </c>
      <c r="K27" s="14">
        <f>'2009'!$C23</f>
        <v>186.35858358719358</v>
      </c>
      <c r="L27" s="14">
        <f>'2010'!$C23</f>
        <v>188.73448712536936</v>
      </c>
      <c r="M27" s="14">
        <f>'2011'!$C23</f>
        <v>184.6537215846345</v>
      </c>
      <c r="N27" s="14">
        <f>'2012'!$C23</f>
        <v>189.72789928956442</v>
      </c>
      <c r="O27" s="14">
        <f>'2013'!$C23</f>
        <v>186.70930986943478</v>
      </c>
      <c r="P27" s="14">
        <f>'2014'!$C23</f>
        <v>186.24120029355004</v>
      </c>
      <c r="Q27" s="14">
        <f>'2015'!$C23</f>
        <v>180.61140266482565</v>
      </c>
      <c r="R27" s="14">
        <f>'2016'!$C23</f>
        <v>117.02387127580273</v>
      </c>
      <c r="S27" s="14">
        <f>'2017'!$C23</f>
        <v>121.79839564359507</v>
      </c>
      <c r="T27" s="14">
        <f>'2018'!$C23</f>
        <v>123.9717421914451</v>
      </c>
      <c r="U27" s="14">
        <f>'2019'!$C23</f>
        <v>127.84170111413614</v>
      </c>
      <c r="V27" s="14">
        <f>'2020'!$C23</f>
        <v>113.04243401583449</v>
      </c>
      <c r="W27" s="14">
        <f>'2021'!$C23</f>
        <v>126.38856335339013</v>
      </c>
      <c r="X27" s="14">
        <f>'2022'!$C23</f>
        <v>129.88894914859873</v>
      </c>
    </row>
    <row r="28" spans="2:24" ht="20.100000000000001" customHeight="1" thickBot="1" x14ac:dyDescent="0.25">
      <c r="B28" s="9" t="s">
        <v>43</v>
      </c>
      <c r="C28" s="14">
        <f>'2001'!$C24</f>
        <v>163.20364076319169</v>
      </c>
      <c r="D28" s="14">
        <f>'2002'!$C24</f>
        <v>165.75192972585822</v>
      </c>
      <c r="E28" s="14">
        <f>'2003'!$C24</f>
        <v>165.14195187934524</v>
      </c>
      <c r="F28" s="14">
        <f>'2004'!$C24</f>
        <v>162.01158634290644</v>
      </c>
      <c r="G28" s="14">
        <f>'2005'!$C24</f>
        <v>168.49762251762871</v>
      </c>
      <c r="H28" s="14">
        <f>'2006'!$C24</f>
        <v>167.63761676858516</v>
      </c>
      <c r="I28" s="14">
        <f>'2007'!$C24</f>
        <v>169.05641551627295</v>
      </c>
      <c r="J28" s="14">
        <f>'2008'!$C24</f>
        <v>180.56865266466639</v>
      </c>
      <c r="K28" s="14">
        <f>'2009'!$C24</f>
        <v>191.60353378128212</v>
      </c>
      <c r="L28" s="14">
        <f>'2010'!$C24</f>
        <v>184.97403495765167</v>
      </c>
      <c r="M28" s="14">
        <f>'2011'!$C24</f>
        <v>182.1561891902625</v>
      </c>
      <c r="N28" s="14">
        <f>'2012'!$C24</f>
        <v>171.83127013847997</v>
      </c>
      <c r="O28" s="14">
        <f>'2013'!$C24</f>
        <v>171.81514345212474</v>
      </c>
      <c r="P28" s="14">
        <f>'2014'!$C24</f>
        <v>167.13134119024761</v>
      </c>
      <c r="Q28" s="14">
        <f>'2015'!$C24</f>
        <v>167.49695617754287</v>
      </c>
      <c r="R28" s="14">
        <f>'2016'!$C24</f>
        <v>112.26683009779973</v>
      </c>
      <c r="S28" s="14">
        <f>'2017'!$C24</f>
        <v>107.55035014857421</v>
      </c>
      <c r="T28" s="14">
        <f>'2018'!$C24</f>
        <v>111.95566633963024</v>
      </c>
      <c r="U28" s="14">
        <f>'2019'!$C24</f>
        <v>116.68695535224721</v>
      </c>
      <c r="V28" s="14">
        <f>'2020'!$C24</f>
        <v>102.46930446216636</v>
      </c>
      <c r="W28" s="14">
        <f>'2021'!$C24</f>
        <v>114.33506397939577</v>
      </c>
      <c r="X28" s="14">
        <f>'2022'!$C24</f>
        <v>126.79026477522044</v>
      </c>
    </row>
    <row r="29" spans="2:24" ht="20.100000000000001" customHeight="1" thickBot="1" x14ac:dyDescent="0.25">
      <c r="B29" s="9" t="s">
        <v>44</v>
      </c>
      <c r="C29" s="14">
        <f>'2001'!$C25</f>
        <v>112.09387752543456</v>
      </c>
      <c r="D29" s="14">
        <f>'2002'!$C25</f>
        <v>115.84678468342356</v>
      </c>
      <c r="E29" s="14">
        <f>'2003'!$C25</f>
        <v>117.55080279697336</v>
      </c>
      <c r="F29" s="14">
        <f>'2004'!$C25</f>
        <v>126.14776614176104</v>
      </c>
      <c r="G29" s="14">
        <f>'2005'!$C25</f>
        <v>129.70043594768626</v>
      </c>
      <c r="H29" s="14">
        <f>'2006'!$C25</f>
        <v>130.65437671643676</v>
      </c>
      <c r="I29" s="14">
        <f>'2007'!$C25</f>
        <v>126.88925394317438</v>
      </c>
      <c r="J29" s="14">
        <f>'2008'!$C25</f>
        <v>136.78559873493089</v>
      </c>
      <c r="K29" s="14">
        <f>'2009'!$C25</f>
        <v>151.94595589002282</v>
      </c>
      <c r="L29" s="14">
        <f>'2010'!$C25</f>
        <v>145.86752742925248</v>
      </c>
      <c r="M29" s="14">
        <f>'2011'!$C25</f>
        <v>145.56514358466544</v>
      </c>
      <c r="N29" s="14">
        <f>'2012'!$C25</f>
        <v>141.8085808580858</v>
      </c>
      <c r="O29" s="14">
        <f>'2013'!$C25</f>
        <v>141.29594142052187</v>
      </c>
      <c r="P29" s="14">
        <f>'2014'!$C25</f>
        <v>141.80938506157466</v>
      </c>
      <c r="Q29" s="14">
        <f>'2015'!$C25</f>
        <v>144.43278640018843</v>
      </c>
      <c r="R29" s="14">
        <f>'2016'!$C25</f>
        <v>104.30706586070296</v>
      </c>
      <c r="S29" s="14">
        <f>'2017'!$C25</f>
        <v>103.12031167301394</v>
      </c>
      <c r="T29" s="14">
        <f>'2018'!$C25</f>
        <v>103.2658785814466</v>
      </c>
      <c r="U29" s="14">
        <f>'2019'!$C25</f>
        <v>107.51753365028713</v>
      </c>
      <c r="V29" s="14">
        <f>'2020'!$C25</f>
        <v>90.757405892393621</v>
      </c>
      <c r="W29" s="14">
        <f>'2021'!$C25</f>
        <v>101.87965269361398</v>
      </c>
      <c r="X29" s="14">
        <f>'2022'!$C25</f>
        <v>109.06208193003933</v>
      </c>
    </row>
    <row r="30" spans="2:24" ht="20.100000000000001" customHeight="1" thickBot="1" x14ac:dyDescent="0.25">
      <c r="B30" s="9" t="s">
        <v>45</v>
      </c>
      <c r="C30" s="14">
        <f>'2001'!$C26</f>
        <v>128.63277570245248</v>
      </c>
      <c r="D30" s="14">
        <f>'2002'!$C26</f>
        <v>141.17964392561055</v>
      </c>
      <c r="E30" s="14">
        <f>'2003'!$C26</f>
        <v>137.55760725000775</v>
      </c>
      <c r="F30" s="14">
        <f>'2004'!$C26</f>
        <v>146.84498698501034</v>
      </c>
      <c r="G30" s="14">
        <f>'2005'!$C26</f>
        <v>157.44362397625628</v>
      </c>
      <c r="H30" s="14">
        <f>'2006'!$C26</f>
        <v>160.13076455656378</v>
      </c>
      <c r="I30" s="14">
        <f>'2007'!$C26</f>
        <v>166.73819905021824</v>
      </c>
      <c r="J30" s="14">
        <f>'2008'!$C26</f>
        <v>183.47641902701727</v>
      </c>
      <c r="K30" s="14">
        <f>'2009'!$C26</f>
        <v>188.62111597292531</v>
      </c>
      <c r="L30" s="14">
        <f>'2010'!$C26</f>
        <v>179.06541731047261</v>
      </c>
      <c r="M30" s="14">
        <f>'2011'!$C26</f>
        <v>176.75468476417029</v>
      </c>
      <c r="N30" s="14">
        <f>'2012'!$C26</f>
        <v>178.83201698450463</v>
      </c>
      <c r="O30" s="14">
        <f>'2013'!$C26</f>
        <v>173.60192018663494</v>
      </c>
      <c r="P30" s="14">
        <f>'2014'!$C26</f>
        <v>170.88273484429612</v>
      </c>
      <c r="Q30" s="14">
        <f>'2015'!$C26</f>
        <v>165.7933336768848</v>
      </c>
      <c r="R30" s="14">
        <f>'2016'!$C26</f>
        <v>119.23800861535352</v>
      </c>
      <c r="S30" s="14">
        <f>'2017'!$C26</f>
        <v>119.46045451835087</v>
      </c>
      <c r="T30" s="14">
        <f>'2018'!$C26</f>
        <v>120.34919260353523</v>
      </c>
      <c r="U30" s="14">
        <f>'2019'!$C26</f>
        <v>124.2957984824625</v>
      </c>
      <c r="V30" s="14">
        <f>'2020'!$C26</f>
        <v>109.85077759194114</v>
      </c>
      <c r="W30" s="14">
        <f>'2021'!$C26</f>
        <v>122.51074616144153</v>
      </c>
      <c r="X30" s="14">
        <f>'2022'!$C26</f>
        <v>128.04506757948425</v>
      </c>
    </row>
    <row r="31" spans="2:24" ht="20.100000000000001" customHeight="1" thickBot="1" x14ac:dyDescent="0.25">
      <c r="B31" s="9" t="s">
        <v>46</v>
      </c>
      <c r="C31" s="14">
        <f>'2001'!$C27</f>
        <v>105.55937624661327</v>
      </c>
      <c r="D31" s="14">
        <f>'2002'!$C27</f>
        <v>113.55840436879321</v>
      </c>
      <c r="E31" s="14">
        <f>'2003'!$C27</f>
        <v>114.49357342074599</v>
      </c>
      <c r="F31" s="14">
        <f>'2004'!$C27</f>
        <v>119.63679299126761</v>
      </c>
      <c r="G31" s="14">
        <f>'2005'!$C27</f>
        <v>125.72833931093</v>
      </c>
      <c r="H31" s="14">
        <f>'2006'!$C27</f>
        <v>147.33855204974401</v>
      </c>
      <c r="I31" s="14">
        <f>'2007'!$C27</f>
        <v>153.46241851990482</v>
      </c>
      <c r="J31" s="14">
        <f>'2008'!$C27</f>
        <v>162.07584620071088</v>
      </c>
      <c r="K31" s="14">
        <f>'2009'!$C27</f>
        <v>165.55127596273377</v>
      </c>
      <c r="L31" s="14">
        <f>'2010'!$C27</f>
        <v>165.04311540414039</v>
      </c>
      <c r="M31" s="14">
        <f>'2011'!$C27</f>
        <v>166.13373968289392</v>
      </c>
      <c r="N31" s="14">
        <f>'2012'!$C27</f>
        <v>152.85280061123635</v>
      </c>
      <c r="O31" s="14">
        <f>'2013'!$C27</f>
        <v>149.41032068398056</v>
      </c>
      <c r="P31" s="14">
        <f>'2014'!$C27</f>
        <v>150.80667587741175</v>
      </c>
      <c r="Q31" s="14">
        <f>'2015'!$C27</f>
        <v>142.62027189592584</v>
      </c>
      <c r="R31" s="14">
        <f>'2016'!$C27</f>
        <v>103.89303873622973</v>
      </c>
      <c r="S31" s="14">
        <f>'2017'!$C27</f>
        <v>103.09882941442157</v>
      </c>
      <c r="T31" s="14">
        <f>'2018'!$C27</f>
        <v>99.4281507766554</v>
      </c>
      <c r="U31" s="14">
        <f>'2019'!$C27</f>
        <v>108.13186185016738</v>
      </c>
      <c r="V31" s="14">
        <f>'2020'!$C27</f>
        <v>95.138681511657438</v>
      </c>
      <c r="W31" s="14">
        <f>'2021'!$C27</f>
        <v>105.29990161891345</v>
      </c>
      <c r="X31" s="14">
        <f>'2022'!$C27</f>
        <v>109.36370112861498</v>
      </c>
    </row>
    <row r="32" spans="2:24" ht="20.100000000000001" customHeight="1" thickBot="1" x14ac:dyDescent="0.25">
      <c r="B32" s="9" t="s">
        <v>47</v>
      </c>
      <c r="C32" s="14">
        <f>'2001'!$C28</f>
        <v>96.320077806337636</v>
      </c>
      <c r="D32" s="14">
        <f>'2002'!$C28</f>
        <v>103.48487704226889</v>
      </c>
      <c r="E32" s="14">
        <f>'2003'!$C28</f>
        <v>104.48709737809264</v>
      </c>
      <c r="F32" s="14">
        <f>'2004'!$C28</f>
        <v>108.29348899514046</v>
      </c>
      <c r="G32" s="14">
        <f>'2005'!$C28</f>
        <v>111.69665438949099</v>
      </c>
      <c r="H32" s="14">
        <f>'2006'!$C28</f>
        <v>117.32081911262799</v>
      </c>
      <c r="I32" s="14">
        <f>'2007'!$C28</f>
        <v>130.3465405085748</v>
      </c>
      <c r="J32" s="14">
        <f>'2008'!$C28</f>
        <v>141.53125783884724</v>
      </c>
      <c r="K32" s="14">
        <f>'2009'!$C28</f>
        <v>147.37558830159685</v>
      </c>
      <c r="L32" s="14">
        <f>'2010'!$C28</f>
        <v>145.37746421944183</v>
      </c>
      <c r="M32" s="14">
        <f>'2011'!$C28</f>
        <v>139.87989303543884</v>
      </c>
      <c r="N32" s="14">
        <f>'2012'!$C28</f>
        <v>140.35755563301473</v>
      </c>
      <c r="O32" s="14">
        <f>'2013'!$C28</f>
        <v>133.39845869966351</v>
      </c>
      <c r="P32" s="14">
        <f>'2014'!$C28</f>
        <v>135.98523010474864</v>
      </c>
      <c r="Q32" s="14">
        <f>'2015'!$C28</f>
        <v>139.49107392526528</v>
      </c>
      <c r="R32" s="14">
        <f>'2016'!$C28</f>
        <v>90.062714165642987</v>
      </c>
      <c r="S32" s="14">
        <f>'2017'!$C28</f>
        <v>95.265652834670249</v>
      </c>
      <c r="T32" s="14">
        <f>'2018'!$C28</f>
        <v>99.349971098558996</v>
      </c>
      <c r="U32" s="14">
        <f>'2019'!$C28</f>
        <v>98.722043101121074</v>
      </c>
      <c r="V32" s="14">
        <f>'2020'!$C28</f>
        <v>85.842183349563328</v>
      </c>
      <c r="W32" s="14">
        <f>'2021'!$C28</f>
        <v>97.557233167617994</v>
      </c>
      <c r="X32" s="14">
        <f>'2022'!$C28</f>
        <v>101.48530043576996</v>
      </c>
    </row>
    <row r="33" spans="2:24" ht="20.100000000000001" customHeight="1" thickBot="1" x14ac:dyDescent="0.25">
      <c r="B33" s="9" t="s">
        <v>48</v>
      </c>
      <c r="C33" s="14">
        <f>'2001'!$C29</f>
        <v>90.282015501368249</v>
      </c>
      <c r="D33" s="14">
        <f>'2002'!$C29</f>
        <v>181.27045862281361</v>
      </c>
      <c r="E33" s="14">
        <f>'2003'!$C29</f>
        <v>183.11751771316884</v>
      </c>
      <c r="F33" s="14">
        <f>'2004'!$C29</f>
        <v>184.55756783538195</v>
      </c>
      <c r="G33" s="14">
        <f>'2005'!$C29</f>
        <v>184.39579866888519</v>
      </c>
      <c r="H33" s="14">
        <f>'2006'!$C29</f>
        <v>185.91903172383905</v>
      </c>
      <c r="I33" s="14">
        <f>'2007'!$C29</f>
        <v>196.6540001530183</v>
      </c>
      <c r="J33" s="14">
        <f>'2008'!$C29</f>
        <v>199.33935943526049</v>
      </c>
      <c r="K33" s="14">
        <f>'2009'!$C29</f>
        <v>218.85749493004334</v>
      </c>
      <c r="L33" s="14">
        <f>'2010'!$C29</f>
        <v>218.42153743508547</v>
      </c>
      <c r="M33" s="14">
        <f>'2011'!$C29</f>
        <v>210.92518853245443</v>
      </c>
      <c r="N33" s="14">
        <f>'2012'!$C29</f>
        <v>204.43752684088105</v>
      </c>
      <c r="O33" s="14">
        <f>'2013'!$C29</f>
        <v>201.17897936786105</v>
      </c>
      <c r="P33" s="14">
        <f>'2014'!$C29</f>
        <v>188.86512656585734</v>
      </c>
      <c r="Q33" s="14">
        <f>'2015'!$C29</f>
        <v>185.40726848801256</v>
      </c>
      <c r="R33" s="14">
        <f>'2016'!$C29</f>
        <v>134.79360804655741</v>
      </c>
      <c r="S33" s="14">
        <f>'2017'!$C29</f>
        <v>139.69879394511219</v>
      </c>
      <c r="T33" s="14">
        <f>'2018'!$C29</f>
        <v>146.48418410127937</v>
      </c>
      <c r="U33" s="14">
        <f>'2019'!$C29</f>
        <v>156.35795933193702</v>
      </c>
      <c r="V33" s="14">
        <f>'2020'!$C29</f>
        <v>134.87006464573622</v>
      </c>
      <c r="W33" s="14">
        <f>'2021'!$C29</f>
        <v>155.18909911401838</v>
      </c>
      <c r="X33" s="14">
        <f>'2022'!$C29</f>
        <v>167.73619276310342</v>
      </c>
    </row>
    <row r="34" spans="2:24" ht="20.100000000000001" customHeight="1" thickBot="1" x14ac:dyDescent="0.25">
      <c r="B34" s="9" t="s">
        <v>49</v>
      </c>
      <c r="C34" s="14">
        <f>'2001'!$C30</f>
        <v>191.1808850168205</v>
      </c>
      <c r="D34" s="14">
        <f>'2002'!$C30</f>
        <v>187.76416457118401</v>
      </c>
      <c r="E34" s="14">
        <f>'2003'!$C30</f>
        <v>147.7104755265519</v>
      </c>
      <c r="F34" s="14">
        <f>'2004'!$C30</f>
        <v>166.85528719046584</v>
      </c>
      <c r="G34" s="14">
        <f>'2005'!$C30</f>
        <v>163.74870956770894</v>
      </c>
      <c r="H34" s="14">
        <f>'2006'!$C30</f>
        <v>162.87494671417411</v>
      </c>
      <c r="I34" s="14">
        <f>'2007'!$C30</f>
        <v>160.06004092412047</v>
      </c>
      <c r="J34" s="14">
        <f>'2008'!$C30</f>
        <v>166.5241083042751</v>
      </c>
      <c r="K34" s="14">
        <f>'2009'!$C30</f>
        <v>180.38278535722978</v>
      </c>
      <c r="L34" s="14">
        <f>'2010'!$C30</f>
        <v>178.64645718853828</v>
      </c>
      <c r="M34" s="14">
        <f>'2011'!$C30</f>
        <v>175.07828913465733</v>
      </c>
      <c r="N34" s="14">
        <f>'2012'!$C30</f>
        <v>169.50554536538226</v>
      </c>
      <c r="O34" s="14">
        <f>'2013'!$C30</f>
        <v>168.47637704298137</v>
      </c>
      <c r="P34" s="14">
        <f>'2014'!$C30</f>
        <v>166.76717502737532</v>
      </c>
      <c r="Q34" s="14">
        <f>'2015'!$C30</f>
        <v>157.695198485102</v>
      </c>
      <c r="R34" s="14">
        <f>'2016'!$C30</f>
        <v>102.44222215144856</v>
      </c>
      <c r="S34" s="14">
        <f>'2017'!$C30</f>
        <v>109.53056439191442</v>
      </c>
      <c r="T34" s="14">
        <f>'2018'!$C30</f>
        <v>115.55265654960253</v>
      </c>
      <c r="U34" s="14">
        <f>'2019'!$C30</f>
        <v>121.53132635751007</v>
      </c>
      <c r="V34" s="14">
        <f>'2020'!$C30</f>
        <v>103.95785046585519</v>
      </c>
      <c r="W34" s="14">
        <f>'2021'!$C30</f>
        <v>121.93807240311418</v>
      </c>
      <c r="X34" s="14">
        <f>'2022'!$C30</f>
        <v>136.89111055738906</v>
      </c>
    </row>
    <row r="35" spans="2:24" ht="20.100000000000001" customHeight="1" thickBot="1" x14ac:dyDescent="0.25">
      <c r="B35" s="9" t="s">
        <v>50</v>
      </c>
      <c r="C35" s="14">
        <f>'2001'!$C31</f>
        <v>152.97974372321221</v>
      </c>
      <c r="D35" s="14">
        <f>'2002'!$C31</f>
        <v>160.69791039600273</v>
      </c>
      <c r="E35" s="14">
        <f>'2003'!$C31</f>
        <v>181.10340813445606</v>
      </c>
      <c r="F35" s="14">
        <f>'2004'!$C31</f>
        <v>206.53402036624067</v>
      </c>
      <c r="G35" s="14">
        <f>'2005'!$C31</f>
        <v>229.09682680178139</v>
      </c>
      <c r="H35" s="14">
        <f>'2006'!$C31</f>
        <v>249.31521232983025</v>
      </c>
      <c r="I35" s="14">
        <f>'2007'!$C31</f>
        <v>246.69296085619371</v>
      </c>
      <c r="J35" s="14">
        <f>'2008'!$C31</f>
        <v>258.26768158718181</v>
      </c>
      <c r="K35" s="14">
        <f>'2009'!$C31</f>
        <v>258.86241112242516</v>
      </c>
      <c r="L35" s="14">
        <f>'2010'!$C31</f>
        <v>255.45164213700016</v>
      </c>
      <c r="M35" s="14">
        <f>'2011'!$C31</f>
        <v>245.69682548266724</v>
      </c>
      <c r="N35" s="14">
        <f>'2012'!$C31</f>
        <v>246.26948147634485</v>
      </c>
      <c r="O35" s="14">
        <f>'2013'!$C31</f>
        <v>241.40586673396285</v>
      </c>
      <c r="P35" s="14">
        <f>'2014'!$C31</f>
        <v>247.49443964087422</v>
      </c>
      <c r="Q35" s="14">
        <f>'2015'!$C31</f>
        <v>230.57417608473591</v>
      </c>
      <c r="R35" s="14">
        <f>'2016'!$C31</f>
        <v>160.09971684262041</v>
      </c>
      <c r="S35" s="14">
        <f>'2017'!$C31</f>
        <v>160.11821175150996</v>
      </c>
      <c r="T35" s="14">
        <f>'2018'!$C31</f>
        <v>137.10166378861388</v>
      </c>
      <c r="U35" s="14">
        <f>'2019'!$C31</f>
        <v>145.85788660053046</v>
      </c>
      <c r="V35" s="14">
        <f>'2020'!$C31</f>
        <v>123.88268521097339</v>
      </c>
      <c r="W35" s="14">
        <f>'2021'!$C31</f>
        <v>140.31007078835344</v>
      </c>
      <c r="X35" s="14">
        <f>'2022'!$C31</f>
        <v>147.36611319624285</v>
      </c>
    </row>
    <row r="36" spans="2:24" ht="20.100000000000001" customHeight="1" thickBot="1" x14ac:dyDescent="0.25">
      <c r="B36" s="9" t="s">
        <v>51</v>
      </c>
      <c r="C36" s="14">
        <f>'2001'!$C32</f>
        <v>124.97376582795047</v>
      </c>
      <c r="D36" s="14">
        <f>'2002'!$C32</f>
        <v>125.2749478232008</v>
      </c>
      <c r="E36" s="14">
        <f>'2003'!$C32</f>
        <v>128.28213118819889</v>
      </c>
      <c r="F36" s="14">
        <f>'2004'!$C32</f>
        <v>127.7531676576609</v>
      </c>
      <c r="G36" s="14">
        <f>'2005'!$C32</f>
        <v>130.60956036458768</v>
      </c>
      <c r="H36" s="14">
        <f>'2006'!$C32</f>
        <v>142.77885763799441</v>
      </c>
      <c r="I36" s="14">
        <f>'2007'!$C32</f>
        <v>146.6422106785198</v>
      </c>
      <c r="J36" s="14">
        <f>'2008'!$C32</f>
        <v>163.67589481342546</v>
      </c>
      <c r="K36" s="14">
        <f>'2009'!$C32</f>
        <v>176.13984911700541</v>
      </c>
      <c r="L36" s="14">
        <f>'2010'!$C32</f>
        <v>159.58626666083646</v>
      </c>
      <c r="M36" s="14">
        <f>'2011'!$C32</f>
        <v>166.55553865889942</v>
      </c>
      <c r="N36" s="14">
        <f>'2012'!$C32</f>
        <v>162.52018016698969</v>
      </c>
      <c r="O36" s="14">
        <f>'2013'!$C32</f>
        <v>152.8035914528389</v>
      </c>
      <c r="P36" s="14">
        <f>'2014'!$C32</f>
        <v>142.8280597903111</v>
      </c>
      <c r="Q36" s="14">
        <f>'2015'!$C32</f>
        <v>146.64191165456509</v>
      </c>
      <c r="R36" s="14">
        <f>'2016'!$C32</f>
        <v>94.510483150243985</v>
      </c>
      <c r="S36" s="14">
        <f>'2017'!$C32</f>
        <v>96.462832102956853</v>
      </c>
      <c r="T36" s="14">
        <f>'2018'!$C32</f>
        <v>101.06249115246079</v>
      </c>
      <c r="U36" s="14">
        <f>'2019'!$C32</f>
        <v>105.77587076450369</v>
      </c>
      <c r="V36" s="14">
        <f>'2020'!$C32</f>
        <v>93.921639725948964</v>
      </c>
      <c r="W36" s="14">
        <f>'2021'!$C32</f>
        <v>109.31216771842102</v>
      </c>
      <c r="X36" s="14">
        <f>'2022'!$C32</f>
        <v>118.90597466753016</v>
      </c>
    </row>
    <row r="37" spans="2:24" ht="20.100000000000001" customHeight="1" thickBot="1" x14ac:dyDescent="0.25">
      <c r="B37" s="9" t="s">
        <v>52</v>
      </c>
      <c r="C37" s="14">
        <f>'2001'!$C33</f>
        <v>151.94810820176295</v>
      </c>
      <c r="D37" s="14">
        <f>'2002'!$C33</f>
        <v>156.40499511758657</v>
      </c>
      <c r="E37" s="14">
        <f>'2003'!$C33</f>
        <v>160.83531239549072</v>
      </c>
      <c r="F37" s="14">
        <f>'2004'!$C33</f>
        <v>164.78675580597726</v>
      </c>
      <c r="G37" s="14">
        <f>'2005'!$C33</f>
        <v>164.88077520918083</v>
      </c>
      <c r="H37" s="14">
        <f>'2006'!$C33</f>
        <v>172.62594123216584</v>
      </c>
      <c r="I37" s="14">
        <f>'2007'!$C33</f>
        <v>159.60142343033851</v>
      </c>
      <c r="J37" s="14">
        <f>'2008'!$C33</f>
        <v>175.68490790781922</v>
      </c>
      <c r="K37" s="14">
        <f>'2009'!$C33</f>
        <v>189.86838799149984</v>
      </c>
      <c r="L37" s="14">
        <f>'2010'!$C33</f>
        <v>194.27271025187181</v>
      </c>
      <c r="M37" s="14">
        <f>'2011'!$C33</f>
        <v>185.87154768108391</v>
      </c>
      <c r="N37" s="14">
        <f>'2012'!$C33</f>
        <v>186.37039983781574</v>
      </c>
      <c r="O37" s="14">
        <f>'2013'!$C33</f>
        <v>180.00338027303386</v>
      </c>
      <c r="P37" s="14">
        <f>'2014'!$C33</f>
        <v>180.71794911301177</v>
      </c>
      <c r="Q37" s="14">
        <f>'2015'!$C33</f>
        <v>182.29404038714119</v>
      </c>
      <c r="R37" s="14">
        <f>'2016'!$C33</f>
        <v>131.6080185374791</v>
      </c>
      <c r="S37" s="14">
        <f>'2017'!$C33</f>
        <v>133.17981230609138</v>
      </c>
      <c r="T37" s="14">
        <f>'2018'!$C33</f>
        <v>129.56694336951753</v>
      </c>
      <c r="U37" s="14">
        <f>'2019'!$C33</f>
        <v>127.71379845555406</v>
      </c>
      <c r="V37" s="14">
        <f>'2020'!$C33</f>
        <v>110.53105413540145</v>
      </c>
      <c r="W37" s="14">
        <f>'2021'!$C33</f>
        <v>123.33336502895395</v>
      </c>
      <c r="X37" s="14">
        <f>'2022'!$C33</f>
        <v>133.21669344946611</v>
      </c>
    </row>
    <row r="38" spans="2:24" ht="20.100000000000001" customHeight="1" thickBot="1" x14ac:dyDescent="0.25">
      <c r="B38" s="9" t="s">
        <v>53</v>
      </c>
      <c r="C38" s="14">
        <f>'2001'!$C34</f>
        <v>95.336359884440782</v>
      </c>
      <c r="D38" s="14">
        <f>'2002'!$C34</f>
        <v>96.251489498140813</v>
      </c>
      <c r="E38" s="14">
        <f>'2003'!$C34</f>
        <v>101.20878808818378</v>
      </c>
      <c r="F38" s="14">
        <f>'2004'!$C34</f>
        <v>102.33394864279641</v>
      </c>
      <c r="G38" s="14">
        <f>'2005'!$C34</f>
        <v>105.25608716599339</v>
      </c>
      <c r="H38" s="14">
        <f>'2006'!$C34</f>
        <v>110.01591575200781</v>
      </c>
      <c r="I38" s="14">
        <f>'2007'!$C34</f>
        <v>108.35639030108084</v>
      </c>
      <c r="J38" s="14">
        <f>'2008'!$C34</f>
        <v>127.84601657559116</v>
      </c>
      <c r="K38" s="14">
        <f>'2009'!$C34</f>
        <v>140.02075224706556</v>
      </c>
      <c r="L38" s="14">
        <f>'2010'!$C34</f>
        <v>136.29761206828661</v>
      </c>
      <c r="M38" s="14">
        <f>'2011'!$C34</f>
        <v>136.24918440539321</v>
      </c>
      <c r="N38" s="14">
        <f>'2012'!$C34</f>
        <v>139.5287532566814</v>
      </c>
      <c r="O38" s="14">
        <f>'2013'!$C34</f>
        <v>135.40465428645911</v>
      </c>
      <c r="P38" s="14">
        <f>'2014'!$C34</f>
        <v>136.16618276725254</v>
      </c>
      <c r="Q38" s="14">
        <f>'2015'!$C34</f>
        <v>136.91685844896347</v>
      </c>
      <c r="R38" s="14">
        <f>'2016'!$C34</f>
        <v>93.048186394908612</v>
      </c>
      <c r="S38" s="14">
        <f>'2017'!$C34</f>
        <v>97.422872800429673</v>
      </c>
      <c r="T38" s="14">
        <f>'2018'!$C34</f>
        <v>93.615081264674373</v>
      </c>
      <c r="U38" s="14">
        <f>'2019'!$C34</f>
        <v>99.205755212940161</v>
      </c>
      <c r="V38" s="14">
        <f>'2020'!$C34</f>
        <v>85.707742257069341</v>
      </c>
      <c r="W38" s="14">
        <f>'2021'!$C34</f>
        <v>96.332893375664398</v>
      </c>
      <c r="X38" s="14">
        <f>'2022'!$C34</f>
        <v>101.73277922448543</v>
      </c>
    </row>
    <row r="39" spans="2:24" ht="20.100000000000001" customHeight="1" thickBot="1" x14ac:dyDescent="0.25">
      <c r="B39" s="9" t="s">
        <v>54</v>
      </c>
      <c r="C39" s="14">
        <f>'2001'!$C35</f>
        <v>104.8714657136088</v>
      </c>
      <c r="D39" s="14">
        <f>'2002'!$C35</f>
        <v>109.37198306422589</v>
      </c>
      <c r="E39" s="14">
        <f>'2003'!$C35</f>
        <v>109.54547896219104</v>
      </c>
      <c r="F39" s="14">
        <f>'2004'!$C35</f>
        <v>109.92149228827518</v>
      </c>
      <c r="G39" s="14">
        <f>'2005'!$C35</f>
        <v>113.40271761847933</v>
      </c>
      <c r="H39" s="14">
        <f>'2006'!$C35</f>
        <v>122.5663937134761</v>
      </c>
      <c r="I39" s="14">
        <f>'2007'!$C35</f>
        <v>122.74536587127035</v>
      </c>
      <c r="J39" s="14">
        <f>'2008'!$C35</f>
        <v>136.44113760379241</v>
      </c>
      <c r="K39" s="14">
        <f>'2009'!$C35</f>
        <v>145.22785025575484</v>
      </c>
      <c r="L39" s="14">
        <f>'2010'!$C35</f>
        <v>154.42311046706649</v>
      </c>
      <c r="M39" s="14">
        <f>'2011'!$C35</f>
        <v>161.66567253206085</v>
      </c>
      <c r="N39" s="14">
        <f>'2012'!$C35</f>
        <v>155.33195472680018</v>
      </c>
      <c r="O39" s="14">
        <f>'2013'!$C35</f>
        <v>146.35833699294349</v>
      </c>
      <c r="P39" s="14">
        <f>'2014'!$C35</f>
        <v>149.71480942532466</v>
      </c>
      <c r="Q39" s="14">
        <f>'2015'!$C35</f>
        <v>147.70778238072671</v>
      </c>
      <c r="R39" s="14">
        <f>'2016'!$C35</f>
        <v>116.41959120709602</v>
      </c>
      <c r="S39" s="14">
        <f>'2017'!$C35</f>
        <v>115.14350007148586</v>
      </c>
      <c r="T39" s="14">
        <f>'2018'!$C35</f>
        <v>112.08135414724048</v>
      </c>
      <c r="U39" s="14">
        <f>'2019'!$C35</f>
        <v>109.90049939706171</v>
      </c>
      <c r="V39" s="14">
        <f>'2020'!$C35</f>
        <v>97.261400010453272</v>
      </c>
      <c r="W39" s="14">
        <f>'2021'!$C35</f>
        <v>106.60087054959422</v>
      </c>
      <c r="X39" s="14">
        <f>'2022'!$C35</f>
        <v>113.88096111226264</v>
      </c>
    </row>
    <row r="40" spans="2:24" ht="20.100000000000001" customHeight="1" thickBot="1" x14ac:dyDescent="0.25">
      <c r="B40" s="9" t="s">
        <v>55</v>
      </c>
      <c r="C40" s="14">
        <f>'2001'!$C36</f>
        <v>96.092825669596834</v>
      </c>
      <c r="D40" s="14">
        <f>'2002'!$C36</f>
        <v>116.78529361427952</v>
      </c>
      <c r="E40" s="14">
        <f>'2003'!$C36</f>
        <v>130.08318581929765</v>
      </c>
      <c r="F40" s="14">
        <f>'2004'!$C36</f>
        <v>130.71724305893815</v>
      </c>
      <c r="G40" s="14">
        <f>'2005'!$C36</f>
        <v>137.99299055055235</v>
      </c>
      <c r="H40" s="14">
        <f>'2006'!$C36</f>
        <v>144.3871519379876</v>
      </c>
      <c r="I40" s="14">
        <f>'2007'!$C36</f>
        <v>153.49818149650071</v>
      </c>
      <c r="J40" s="14">
        <f>'2008'!$C36</f>
        <v>159.76209516193524</v>
      </c>
      <c r="K40" s="14">
        <f>'2009'!$C36</f>
        <v>173.49535856880374</v>
      </c>
      <c r="L40" s="14">
        <f>'2010'!$C36</f>
        <v>172.61318207673386</v>
      </c>
      <c r="M40" s="14">
        <f>'2011'!$C36</f>
        <v>157.74238196541174</v>
      </c>
      <c r="N40" s="14">
        <f>'2012'!$C36</f>
        <v>159.73878099144304</v>
      </c>
      <c r="O40" s="14">
        <f>'2013'!$C36</f>
        <v>153.7512863653441</v>
      </c>
      <c r="P40" s="14">
        <f>'2014'!$C36</f>
        <v>157.773770667679</v>
      </c>
      <c r="Q40" s="14">
        <f>'2015'!$C36</f>
        <v>153.5727322980006</v>
      </c>
      <c r="R40" s="14">
        <f>'2016'!$C36</f>
        <v>110.07719529395867</v>
      </c>
      <c r="S40" s="14">
        <f>'2017'!$C36</f>
        <v>104.91206791995148</v>
      </c>
      <c r="T40" s="14">
        <f>'2018'!$C36</f>
        <v>107.87370672738956</v>
      </c>
      <c r="U40" s="14">
        <f>'2019'!$C36</f>
        <v>115.97148701850648</v>
      </c>
      <c r="V40" s="14">
        <f>'2020'!$C36</f>
        <v>100.62242709321509</v>
      </c>
      <c r="W40" s="14">
        <f>'2021'!$C36</f>
        <v>118.91362966177115</v>
      </c>
      <c r="X40" s="14">
        <f>'2022'!$C36</f>
        <v>118.12550641346363</v>
      </c>
    </row>
    <row r="41" spans="2:24" ht="20.100000000000001" customHeight="1" thickBot="1" x14ac:dyDescent="0.25">
      <c r="B41" s="9" t="s">
        <v>56</v>
      </c>
      <c r="C41" s="14">
        <f>'2001'!$C37</f>
        <v>115.19000172591865</v>
      </c>
      <c r="D41" s="14">
        <f>'2002'!$C37</f>
        <v>122.17865276037246</v>
      </c>
      <c r="E41" s="14">
        <f>'2003'!$C37</f>
        <v>123.77958844293096</v>
      </c>
      <c r="F41" s="14">
        <f>'2004'!$C37</f>
        <v>125.21683130264977</v>
      </c>
      <c r="G41" s="14">
        <f>'2005'!$C37</f>
        <v>125.84900322702592</v>
      </c>
      <c r="H41" s="14">
        <f>'2006'!$C37</f>
        <v>124.84294324361467</v>
      </c>
      <c r="I41" s="14">
        <f>'2007'!$C37</f>
        <v>127.02196780309893</v>
      </c>
      <c r="J41" s="14">
        <f>'2008'!$C37</f>
        <v>143.61916452707135</v>
      </c>
      <c r="K41" s="14">
        <f>'2009'!$C37</f>
        <v>147.40537394420741</v>
      </c>
      <c r="L41" s="14">
        <f>'2010'!$C37</f>
        <v>141.37454294082335</v>
      </c>
      <c r="M41" s="14">
        <f>'2011'!$C37</f>
        <v>132.43938612912271</v>
      </c>
      <c r="N41" s="14">
        <f>'2012'!$C37</f>
        <v>136.2948951768721</v>
      </c>
      <c r="O41" s="14">
        <f>'2013'!$C37</f>
        <v>139.17648526359955</v>
      </c>
      <c r="P41" s="14">
        <f>'2014'!$C37</f>
        <v>139.73255768822446</v>
      </c>
      <c r="Q41" s="14">
        <f>'2015'!$C37</f>
        <v>125.77145098147142</v>
      </c>
      <c r="R41" s="14">
        <f>'2016'!$C37</f>
        <v>91.60194543833417</v>
      </c>
      <c r="S41" s="14">
        <f>'2017'!$C37</f>
        <v>96.159894908229717</v>
      </c>
      <c r="T41" s="14">
        <f>'2018'!$C37</f>
        <v>105.31434670313678</v>
      </c>
      <c r="U41" s="14">
        <f>'2019'!$C37</f>
        <v>116.18651277217023</v>
      </c>
      <c r="V41" s="14">
        <f>'2020'!$C37</f>
        <v>100.13978933541915</v>
      </c>
      <c r="W41" s="14">
        <f>'2021'!$C37</f>
        <v>116.65419680847434</v>
      </c>
      <c r="X41" s="14">
        <f>'2022'!$C37</f>
        <v>135.41128927721064</v>
      </c>
    </row>
    <row r="42" spans="2:24" ht="20.100000000000001" customHeight="1" thickBot="1" x14ac:dyDescent="0.25">
      <c r="B42" s="9" t="s">
        <v>57</v>
      </c>
      <c r="C42" s="14">
        <f>'2001'!$C38</f>
        <v>85.94576038448335</v>
      </c>
      <c r="D42" s="14">
        <f>'2002'!$C38</f>
        <v>95.811842490781743</v>
      </c>
      <c r="E42" s="14">
        <f>'2003'!$C38</f>
        <v>101.19496715781999</v>
      </c>
      <c r="F42" s="14">
        <f>'2004'!$C38</f>
        <v>103.82422193208575</v>
      </c>
      <c r="G42" s="14">
        <f>'2005'!$C38</f>
        <v>105.05976931142958</v>
      </c>
      <c r="H42" s="14">
        <f>'2006'!$C38</f>
        <v>108.79288829063783</v>
      </c>
      <c r="I42" s="14">
        <f>'2007'!$C38</f>
        <v>114.61078451246706</v>
      </c>
      <c r="J42" s="14">
        <f>'2008'!$C38</f>
        <v>140.43071419129291</v>
      </c>
      <c r="K42" s="14">
        <f>'2009'!$C38</f>
        <v>135.69166232632779</v>
      </c>
      <c r="L42" s="14">
        <f>'2010'!$C38</f>
        <v>132.1908662985426</v>
      </c>
      <c r="M42" s="14">
        <f>'2011'!$C38</f>
        <v>130.60051773675076</v>
      </c>
      <c r="N42" s="14">
        <f>'2012'!$C38</f>
        <v>130.71865452190013</v>
      </c>
      <c r="O42" s="14">
        <f>'2013'!$C38</f>
        <v>138.42285516105261</v>
      </c>
      <c r="P42" s="14">
        <f>'2014'!$C38</f>
        <v>141.50337857551321</v>
      </c>
      <c r="Q42" s="14">
        <f>'2015'!$C38</f>
        <v>133.69732399097191</v>
      </c>
      <c r="R42" s="14">
        <f>'2016'!$C38</f>
        <v>106.26190469115406</v>
      </c>
      <c r="S42" s="14">
        <f>'2017'!$C38</f>
        <v>101.09281428151807</v>
      </c>
      <c r="T42" s="14">
        <f>'2018'!$C38</f>
        <v>96.777503795344174</v>
      </c>
      <c r="U42" s="14">
        <f>'2019'!$C38</f>
        <v>107.08250021997227</v>
      </c>
      <c r="V42" s="14">
        <f>'2020'!$C38</f>
        <v>97.290407567099464</v>
      </c>
      <c r="W42" s="14">
        <f>'2021'!$C38</f>
        <v>110.72257854748123</v>
      </c>
      <c r="X42" s="14">
        <f>'2022'!$C38</f>
        <v>112.29613543018223</v>
      </c>
    </row>
    <row r="43" spans="2:24" ht="20.100000000000001" customHeight="1" thickBot="1" x14ac:dyDescent="0.25">
      <c r="B43" s="9" t="s">
        <v>58</v>
      </c>
      <c r="C43" s="14">
        <f>'2001'!$C39</f>
        <v>161.78368348195315</v>
      </c>
      <c r="D43" s="14">
        <f>'2002'!$C39</f>
        <v>178.83893911367011</v>
      </c>
      <c r="E43" s="14">
        <f>'2003'!$C39</f>
        <v>187.51790103833889</v>
      </c>
      <c r="F43" s="14">
        <f>'2004'!$C39</f>
        <v>184.91207923609809</v>
      </c>
      <c r="G43" s="14">
        <f>'2005'!$C39</f>
        <v>190.84518932560806</v>
      </c>
      <c r="H43" s="14">
        <f>'2006'!$C39</f>
        <v>195.8825155625253</v>
      </c>
      <c r="I43" s="14">
        <f>'2007'!$C39</f>
        <v>207.94437203217726</v>
      </c>
      <c r="J43" s="14">
        <f>'2008'!$C39</f>
        <v>219.74323135359532</v>
      </c>
      <c r="K43" s="14">
        <f>'2009'!$C39</f>
        <v>219.75433588458435</v>
      </c>
      <c r="L43" s="14">
        <f>'2010'!$C39</f>
        <v>216.96014234478727</v>
      </c>
      <c r="M43" s="14">
        <f>'2011'!$C39</f>
        <v>210.6020635840288</v>
      </c>
      <c r="N43" s="14">
        <f>'2012'!$C39</f>
        <v>207.97530529840458</v>
      </c>
      <c r="O43" s="14">
        <f>'2013'!$C39</f>
        <v>196.75682632620391</v>
      </c>
      <c r="P43" s="14">
        <f>'2014'!$C39</f>
        <v>198.22664708324811</v>
      </c>
      <c r="Q43" s="14">
        <f>'2015'!$C39</f>
        <v>197.80562237416336</v>
      </c>
      <c r="R43" s="14">
        <f>'2016'!$C39</f>
        <v>117.64426636416661</v>
      </c>
      <c r="S43" s="14">
        <f>'2017'!$C39</f>
        <v>116.30391886874568</v>
      </c>
      <c r="T43" s="14">
        <f>'2018'!$C39</f>
        <v>119.81932719263482</v>
      </c>
      <c r="U43" s="14">
        <f>'2019'!$C39</f>
        <v>125.42752237073179</v>
      </c>
      <c r="V43" s="14">
        <f>'2020'!$C39</f>
        <v>114.07017343059354</v>
      </c>
      <c r="W43" s="14">
        <f>'2021'!$C39</f>
        <v>130.46293198105064</v>
      </c>
      <c r="X43" s="14">
        <f>'2022'!$C39</f>
        <v>138.31110708222815</v>
      </c>
    </row>
    <row r="44" spans="2:24" ht="20.100000000000001" customHeight="1" thickBot="1" x14ac:dyDescent="0.25">
      <c r="B44" s="9" t="s">
        <v>59</v>
      </c>
      <c r="C44" s="14">
        <f>'2001'!$C40</f>
        <v>264.115677601671</v>
      </c>
      <c r="D44" s="14">
        <f>'2002'!$C40</f>
        <v>274.36711002172916</v>
      </c>
      <c r="E44" s="14">
        <f>'2003'!$C40</f>
        <v>273.60152448559523</v>
      </c>
      <c r="F44" s="14">
        <f>'2004'!$C40</f>
        <v>289.6450095677522</v>
      </c>
      <c r="G44" s="14">
        <f>'2005'!$C40</f>
        <v>282.60248835668415</v>
      </c>
      <c r="H44" s="14">
        <f>'2006'!$C40</f>
        <v>285.0081842059912</v>
      </c>
      <c r="I44" s="14">
        <f>'2007'!$C40</f>
        <v>283.437549216717</v>
      </c>
      <c r="J44" s="14">
        <f>'2008'!$C40</f>
        <v>297.26450029777493</v>
      </c>
      <c r="K44" s="14">
        <f>'2009'!$C40</f>
        <v>297.3614434537634</v>
      </c>
      <c r="L44" s="14">
        <f>'2010'!$C40</f>
        <v>288.29920282413116</v>
      </c>
      <c r="M44" s="14">
        <f>'2011'!$C40</f>
        <v>280.55691042158855</v>
      </c>
      <c r="N44" s="14">
        <f>'2012'!$C40</f>
        <v>282.76556305595403</v>
      </c>
      <c r="O44" s="14">
        <f>'2013'!$C40</f>
        <v>267.12115373330533</v>
      </c>
      <c r="P44" s="14">
        <f>'2014'!$C40</f>
        <v>278.16331764868357</v>
      </c>
      <c r="Q44" s="14">
        <f>'2015'!$C40</f>
        <v>272.17639580275426</v>
      </c>
      <c r="R44" s="14">
        <f>'2016'!$C40</f>
        <v>169.90568944416555</v>
      </c>
      <c r="S44" s="14">
        <f>'2017'!$C40</f>
        <v>172.20803193886968</v>
      </c>
      <c r="T44" s="14">
        <f>'2018'!$C40</f>
        <v>180.07691084325896</v>
      </c>
      <c r="U44" s="14">
        <f>'2019'!$C40</f>
        <v>177.92674744326132</v>
      </c>
      <c r="V44" s="14">
        <f>'2020'!$C40</f>
        <v>156.32177090253393</v>
      </c>
      <c r="W44" s="14">
        <f>'2021'!$C40</f>
        <v>176.588814561487</v>
      </c>
      <c r="X44" s="14">
        <f>'2022'!$C40</f>
        <v>185.14717946086785</v>
      </c>
    </row>
    <row r="45" spans="2:24" ht="20.100000000000001" customHeight="1" thickBot="1" x14ac:dyDescent="0.25">
      <c r="B45" s="9" t="s">
        <v>60</v>
      </c>
      <c r="C45" s="14">
        <f>'2001'!$C41</f>
        <v>133.47776924640743</v>
      </c>
      <c r="D45" s="14">
        <f>'2002'!$C41</f>
        <v>151.84927705374031</v>
      </c>
      <c r="E45" s="14">
        <f>'2003'!$C41</f>
        <v>155.75270045618208</v>
      </c>
      <c r="F45" s="14">
        <f>'2004'!$C41</f>
        <v>164.55007901480968</v>
      </c>
      <c r="G45" s="14">
        <f>'2005'!$C41</f>
        <v>162.4714027333597</v>
      </c>
      <c r="H45" s="14">
        <f>'2006'!$C41</f>
        <v>171.24277351190173</v>
      </c>
      <c r="I45" s="14">
        <f>'2007'!$C41</f>
        <v>177.50160367267981</v>
      </c>
      <c r="J45" s="14">
        <f>'2008'!$C41</f>
        <v>190.9917124146892</v>
      </c>
      <c r="K45" s="14">
        <f>'2009'!$C41</f>
        <v>202.63390758510081</v>
      </c>
      <c r="L45" s="14">
        <f>'2010'!$C41</f>
        <v>202.62808152511084</v>
      </c>
      <c r="M45" s="14">
        <f>'2011'!$C41</f>
        <v>192.55490728666479</v>
      </c>
      <c r="N45" s="14">
        <f>'2012'!$C41</f>
        <v>192.19722079230954</v>
      </c>
      <c r="O45" s="14">
        <f>'2013'!$C41</f>
        <v>183.54619988872653</v>
      </c>
      <c r="P45" s="14">
        <f>'2014'!$C41</f>
        <v>187.29794698456115</v>
      </c>
      <c r="Q45" s="14">
        <f>'2015'!$C41</f>
        <v>177.24877461002882</v>
      </c>
      <c r="R45" s="14">
        <f>'2016'!$C41</f>
        <v>122.00796397166394</v>
      </c>
      <c r="S45" s="14">
        <f>'2017'!$C41</f>
        <v>121.27203587360987</v>
      </c>
      <c r="T45" s="14">
        <f>'2018'!$C41</f>
        <v>123.34250248053952</v>
      </c>
      <c r="U45" s="14">
        <f>'2019'!$C41</f>
        <v>128.38694475794196</v>
      </c>
      <c r="V45" s="14">
        <f>'2020'!$C41</f>
        <v>115.003397847214</v>
      </c>
      <c r="W45" s="14">
        <f>'2021'!$C41</f>
        <v>126.8625459833018</v>
      </c>
      <c r="X45" s="14">
        <f>'2022'!$C41</f>
        <v>138.77967923313091</v>
      </c>
    </row>
    <row r="46" spans="2:24" ht="20.100000000000001" customHeight="1" thickBot="1" x14ac:dyDescent="0.25">
      <c r="B46" s="9" t="s">
        <v>61</v>
      </c>
      <c r="C46" s="14">
        <f>'2001'!$C42</f>
        <v>92.395144023600338</v>
      </c>
      <c r="D46" s="14">
        <f>'2002'!$C42</f>
        <v>101.94548020813583</v>
      </c>
      <c r="E46" s="14">
        <f>'2003'!$C42</f>
        <v>105.9476660728801</v>
      </c>
      <c r="F46" s="14">
        <f>'2004'!$C42</f>
        <v>113.03943331497742</v>
      </c>
      <c r="G46" s="14">
        <f>'2005'!$C42</f>
        <v>124.56358513965276</v>
      </c>
      <c r="H46" s="14">
        <f>'2006'!$C42</f>
        <v>127.87061743820135</v>
      </c>
      <c r="I46" s="14">
        <f>'2007'!$C42</f>
        <v>134.33276776106001</v>
      </c>
      <c r="J46" s="14">
        <f>'2008'!$C42</f>
        <v>141.06422385098094</v>
      </c>
      <c r="K46" s="14">
        <f>'2009'!$C42</f>
        <v>150.70934920025755</v>
      </c>
      <c r="L46" s="14">
        <f>'2010'!$C42</f>
        <v>146.10691385471421</v>
      </c>
      <c r="M46" s="14">
        <f>'2011'!$C42</f>
        <v>137.09035575055563</v>
      </c>
      <c r="N46" s="14">
        <f>'2012'!$C42</f>
        <v>139.16650893779692</v>
      </c>
      <c r="O46" s="14">
        <f>'2013'!$C42</f>
        <v>149.94949393073765</v>
      </c>
      <c r="P46" s="14">
        <f>'2014'!$C42</f>
        <v>154.79798373882238</v>
      </c>
      <c r="Q46" s="14">
        <f>'2015'!$C42</f>
        <v>147.74011828702402</v>
      </c>
      <c r="R46" s="14">
        <f>'2016'!$C42</f>
        <v>88.922604804205747</v>
      </c>
      <c r="S46" s="14">
        <f>'2017'!$C42</f>
        <v>88.788838898441313</v>
      </c>
      <c r="T46" s="14">
        <f>'2018'!$C42</f>
        <v>88.440500714998294</v>
      </c>
      <c r="U46" s="14">
        <f>'2019'!$C42</f>
        <v>93.56265686763048</v>
      </c>
      <c r="V46" s="14">
        <f>'2020'!$C42</f>
        <v>83.652829640787843</v>
      </c>
      <c r="W46" s="14">
        <f>'2021'!$C42</f>
        <v>96.593236659476347</v>
      </c>
      <c r="X46" s="14">
        <f>'2022'!$C42</f>
        <v>108.27663456465775</v>
      </c>
    </row>
    <row r="47" spans="2:24" ht="20.100000000000001" customHeight="1" thickBot="1" x14ac:dyDescent="0.25">
      <c r="B47" s="9" t="s">
        <v>62</v>
      </c>
      <c r="C47" s="14">
        <f>'2001'!$C43</f>
        <v>100.34443435290157</v>
      </c>
      <c r="D47" s="14">
        <f>'2002'!$C43</f>
        <v>104.26508575550952</v>
      </c>
      <c r="E47" s="14">
        <f>'2003'!$C43</f>
        <v>110.54226461297496</v>
      </c>
      <c r="F47" s="14">
        <f>'2004'!$C43</f>
        <v>116.34994621728218</v>
      </c>
      <c r="G47" s="14">
        <f>'2005'!$C43</f>
        <v>119.01164759759097</v>
      </c>
      <c r="H47" s="14">
        <f>'2006'!$C43</f>
        <v>121.35080948767387</v>
      </c>
      <c r="I47" s="14">
        <f>'2007'!$C43</f>
        <v>127.16145385040039</v>
      </c>
      <c r="J47" s="14">
        <f>'2008'!$C43</f>
        <v>135.39760606249945</v>
      </c>
      <c r="K47" s="14">
        <f>'2009'!$C43</f>
        <v>144.35320966982678</v>
      </c>
      <c r="L47" s="14">
        <f>'2010'!$C43</f>
        <v>147.50058916708181</v>
      </c>
      <c r="M47" s="14">
        <f>'2011'!$C43</f>
        <v>137.44947592998795</v>
      </c>
      <c r="N47" s="14">
        <f>'2012'!$C43</f>
        <v>137.63826353415672</v>
      </c>
      <c r="O47" s="14">
        <f>'2013'!$C43</f>
        <v>145.23267344914976</v>
      </c>
      <c r="P47" s="14">
        <f>'2014'!$C43</f>
        <v>156.97517476333647</v>
      </c>
      <c r="Q47" s="14">
        <f>'2015'!$C43</f>
        <v>140.8299857722109</v>
      </c>
      <c r="R47" s="14">
        <f>'2016'!$C43</f>
        <v>105.09666415755923</v>
      </c>
      <c r="S47" s="14">
        <f>'2017'!$C43</f>
        <v>103.94635523613962</v>
      </c>
      <c r="T47" s="14">
        <f>'2018'!$C43</f>
        <v>100.54543749777719</v>
      </c>
      <c r="U47" s="14">
        <f>'2019'!$C43</f>
        <v>110.24179996164484</v>
      </c>
      <c r="V47" s="14">
        <f>'2020'!$C43</f>
        <v>100.69460296755258</v>
      </c>
      <c r="W47" s="14">
        <f>'2021'!$C43</f>
        <v>109.08745409094334</v>
      </c>
      <c r="X47" s="14">
        <f>'2022'!$C43</f>
        <v>110.30623511334336</v>
      </c>
    </row>
    <row r="48" spans="2:24" ht="20.100000000000001" customHeight="1" thickBot="1" x14ac:dyDescent="0.25">
      <c r="B48" s="9" t="s">
        <v>63</v>
      </c>
      <c r="C48" s="14">
        <f>'2001'!$C44</f>
        <v>118.31740393019257</v>
      </c>
      <c r="D48" s="14">
        <f>'2002'!$C44</f>
        <v>120.31227821149753</v>
      </c>
      <c r="E48" s="14">
        <f>'2003'!$C44</f>
        <v>120.67044850811497</v>
      </c>
      <c r="F48" s="14">
        <f>'2004'!$C44</f>
        <v>117.06994654865221</v>
      </c>
      <c r="G48" s="14">
        <f>'2005'!$C44</f>
        <v>132.10853687359847</v>
      </c>
      <c r="H48" s="14">
        <f>'2006'!$C44</f>
        <v>132.12592331637339</v>
      </c>
      <c r="I48" s="14">
        <f>'2007'!$C44</f>
        <v>135.85447914081752</v>
      </c>
      <c r="J48" s="14">
        <f>'2008'!$C44</f>
        <v>159.63886678888929</v>
      </c>
      <c r="K48" s="14">
        <f>'2009'!$C44</f>
        <v>164.97986220904065</v>
      </c>
      <c r="L48" s="14">
        <f>'2010'!$C44</f>
        <v>164.12961567445367</v>
      </c>
      <c r="M48" s="14">
        <f>'2011'!$C44</f>
        <v>163.9501829112007</v>
      </c>
      <c r="N48" s="14">
        <f>'2012'!$C44</f>
        <v>161.58113324702865</v>
      </c>
      <c r="O48" s="14">
        <f>'2013'!$C44</f>
        <v>159.48625373620195</v>
      </c>
      <c r="P48" s="14">
        <f>'2014'!$C44</f>
        <v>167.62226372092189</v>
      </c>
      <c r="Q48" s="14">
        <f>'2015'!$C44</f>
        <v>161.29129400427621</v>
      </c>
      <c r="R48" s="14">
        <f>'2016'!$C44</f>
        <v>114.81135055027818</v>
      </c>
      <c r="S48" s="14">
        <f>'2017'!$C44</f>
        <v>118.70983536324133</v>
      </c>
      <c r="T48" s="14">
        <f>'2018'!$C44</f>
        <v>115.91322862344555</v>
      </c>
      <c r="U48" s="14">
        <f>'2019'!$C44</f>
        <v>113.33706050441049</v>
      </c>
      <c r="V48" s="14">
        <f>'2020'!$C44</f>
        <v>99.762351781737877</v>
      </c>
      <c r="W48" s="14">
        <f>'2021'!$C44</f>
        <v>112.22764779447346</v>
      </c>
      <c r="X48" s="14">
        <f>'2022'!$C44</f>
        <v>119.10911684671606</v>
      </c>
    </row>
    <row r="49" spans="2:24" ht="20.100000000000001" customHeight="1" thickBot="1" x14ac:dyDescent="0.25">
      <c r="B49" s="9" t="s">
        <v>64</v>
      </c>
      <c r="C49" s="14">
        <f>'2001'!$C45</f>
        <v>173.09676623857021</v>
      </c>
      <c r="D49" s="14">
        <f>'2002'!$C45</f>
        <v>185.33663779642643</v>
      </c>
      <c r="E49" s="14">
        <f>'2003'!$C45</f>
        <v>189.19545204908914</v>
      </c>
      <c r="F49" s="14">
        <f>'2004'!$C45</f>
        <v>181.95816550639836</v>
      </c>
      <c r="G49" s="14">
        <f>'2005'!$C45</f>
        <v>195.59494351376776</v>
      </c>
      <c r="H49" s="14">
        <f>'2006'!$C45</f>
        <v>202.72294290294926</v>
      </c>
      <c r="I49" s="14">
        <f>'2007'!$C45</f>
        <v>203.60108278133939</v>
      </c>
      <c r="J49" s="14">
        <f>'2008'!$C45</f>
        <v>217.42994602030595</v>
      </c>
      <c r="K49" s="14">
        <f>'2009'!$C45</f>
        <v>220.45644585796794</v>
      </c>
      <c r="L49" s="14">
        <f>'2010'!$C45</f>
        <v>217.16386776147183</v>
      </c>
      <c r="M49" s="14">
        <f>'2011'!$C45</f>
        <v>212.21170850881509</v>
      </c>
      <c r="N49" s="14">
        <f>'2012'!$C45</f>
        <v>207.88453624730084</v>
      </c>
      <c r="O49" s="14">
        <f>'2013'!$C45</f>
        <v>200.13135842732254</v>
      </c>
      <c r="P49" s="14">
        <f>'2014'!$C45</f>
        <v>199.53328418302459</v>
      </c>
      <c r="Q49" s="14">
        <f>'2015'!$C45</f>
        <v>202.03822630247831</v>
      </c>
      <c r="R49" s="14">
        <f>'2016'!$C45</f>
        <v>167.1442885771543</v>
      </c>
      <c r="S49" s="14">
        <f>'2017'!$C45</f>
        <v>174.92366967141612</v>
      </c>
      <c r="T49" s="14">
        <f>'2018'!$C45</f>
        <v>182.91162350395564</v>
      </c>
      <c r="U49" s="14">
        <f>'2019'!$C45</f>
        <v>189.74104030146216</v>
      </c>
      <c r="V49" s="14">
        <f>'2020'!$C45</f>
        <v>169.53048675363485</v>
      </c>
      <c r="W49" s="14">
        <f>'2021'!$C45</f>
        <v>184.31884055402605</v>
      </c>
      <c r="X49" s="14">
        <f>'2022'!$C45</f>
        <v>191.6061385561332</v>
      </c>
    </row>
    <row r="50" spans="2:24" ht="20.100000000000001" customHeight="1" thickBot="1" x14ac:dyDescent="0.25">
      <c r="B50" s="9" t="s">
        <v>65</v>
      </c>
      <c r="C50" s="14">
        <f>'2001'!$C46</f>
        <v>157.28528143064216</v>
      </c>
      <c r="D50" s="14">
        <f>'2002'!$C46</f>
        <v>167.61528544439059</v>
      </c>
      <c r="E50" s="14">
        <f>'2003'!$C46</f>
        <v>172.83826835066384</v>
      </c>
      <c r="F50" s="14">
        <f>'2004'!$C46</f>
        <v>169.03723261981824</v>
      </c>
      <c r="G50" s="14">
        <f>'2005'!$C46</f>
        <v>168.71271891728861</v>
      </c>
      <c r="H50" s="14">
        <f>'2006'!$C46</f>
        <v>163.90649304381111</v>
      </c>
      <c r="I50" s="14">
        <f>'2007'!$C46</f>
        <v>168.99262271814479</v>
      </c>
      <c r="J50" s="14">
        <f>'2008'!$C46</f>
        <v>183.98468638556744</v>
      </c>
      <c r="K50" s="14">
        <f>'2009'!$C46</f>
        <v>221.54925585873195</v>
      </c>
      <c r="L50" s="14">
        <f>'2010'!$C46</f>
        <v>212.90801186943619</v>
      </c>
      <c r="M50" s="14">
        <f>'2011'!$C46</f>
        <v>203.36560765782644</v>
      </c>
      <c r="N50" s="14">
        <f>'2012'!$C46</f>
        <v>196.17123038976322</v>
      </c>
      <c r="O50" s="14">
        <f>'2013'!$C46</f>
        <v>192.97314276739439</v>
      </c>
      <c r="P50" s="14">
        <f>'2014'!$C46</f>
        <v>191.84283834900765</v>
      </c>
      <c r="Q50" s="14">
        <f>'2015'!$C46</f>
        <v>181.74870747983374</v>
      </c>
      <c r="R50" s="14">
        <f>'2016'!$C46</f>
        <v>131.40099073856405</v>
      </c>
      <c r="S50" s="14">
        <f>'2017'!$C46</f>
        <v>121.49276941142277</v>
      </c>
      <c r="T50" s="14">
        <f>'2018'!$C46</f>
        <v>112.0653406557001</v>
      </c>
      <c r="U50" s="14">
        <f>'2019'!$C46</f>
        <v>124.58508590008114</v>
      </c>
      <c r="V50" s="14">
        <f>'2020'!$C46</f>
        <v>111.49683522881126</v>
      </c>
      <c r="W50" s="14">
        <f>'2021'!$C46</f>
        <v>120.74872256493077</v>
      </c>
      <c r="X50" s="14">
        <f>'2022'!$C46</f>
        <v>124.60459082364778</v>
      </c>
    </row>
    <row r="51" spans="2:24" ht="20.100000000000001" customHeight="1" thickBot="1" x14ac:dyDescent="0.25">
      <c r="B51" s="9" t="s">
        <v>30</v>
      </c>
      <c r="C51" s="14">
        <f>'2001'!$C47</f>
        <v>105.25517751479289</v>
      </c>
      <c r="D51" s="14">
        <f>'2002'!$C47</f>
        <v>108.21194969000121</v>
      </c>
      <c r="E51" s="14">
        <f>'2003'!$C47</f>
        <v>111.44785831100596</v>
      </c>
      <c r="F51" s="14">
        <f>'2004'!$C47</f>
        <v>115.11720200440806</v>
      </c>
      <c r="G51" s="14">
        <f>'2005'!$C47</f>
        <v>118.25603486070332</v>
      </c>
      <c r="H51" s="14">
        <f>'2006'!$C47</f>
        <v>116.90172565172973</v>
      </c>
      <c r="I51" s="14">
        <f>'2007'!$C47</f>
        <v>120.15160146034542</v>
      </c>
      <c r="J51" s="14">
        <f>'2008'!$C47</f>
        <v>135.84524143231044</v>
      </c>
      <c r="K51" s="14">
        <f>'2009'!$C47</f>
        <v>142.47657770234565</v>
      </c>
      <c r="L51" s="14">
        <f>'2010'!$C47</f>
        <v>134.49126126265836</v>
      </c>
      <c r="M51" s="14">
        <f>'2011'!$C47</f>
        <v>125.12579151894226</v>
      </c>
      <c r="N51" s="14">
        <f>'2012'!$C47</f>
        <v>119.53623045094542</v>
      </c>
      <c r="O51" s="14">
        <f>'2013'!$C47</f>
        <v>115.49031602940126</v>
      </c>
      <c r="P51" s="14">
        <f>'2014'!$C47</f>
        <v>117.15600529150286</v>
      </c>
      <c r="Q51" s="14">
        <f>'2015'!$C47</f>
        <v>122.40855629815835</v>
      </c>
      <c r="R51" s="14">
        <f>'2016'!$C47</f>
        <v>81.882493017600069</v>
      </c>
      <c r="S51" s="14">
        <f>'2017'!$C47</f>
        <v>82.842656976799489</v>
      </c>
      <c r="T51" s="14">
        <f>'2018'!$C47</f>
        <v>85.835115229270599</v>
      </c>
      <c r="U51" s="14">
        <f>'2019'!$C47</f>
        <v>86.51885428569625</v>
      </c>
      <c r="V51" s="14">
        <f>'2020'!$C47</f>
        <v>79.440099526747815</v>
      </c>
      <c r="W51" s="14">
        <f>'2021'!$C47</f>
        <v>92.524609438517047</v>
      </c>
      <c r="X51" s="14">
        <f>'2022'!$C47</f>
        <v>99.210121452425923</v>
      </c>
    </row>
    <row r="52" spans="2:24" ht="20.100000000000001" customHeight="1" thickBot="1" x14ac:dyDescent="0.25">
      <c r="B52" s="9" t="s">
        <v>66</v>
      </c>
      <c r="C52" s="14">
        <f>'2001'!$C48</f>
        <v>106.92757753227359</v>
      </c>
      <c r="D52" s="14">
        <f>'2002'!$C48</f>
        <v>114.83060613044481</v>
      </c>
      <c r="E52" s="14">
        <f>'2003'!$C48</f>
        <v>111.21511696351405</v>
      </c>
      <c r="F52" s="14">
        <f>'2004'!$C48</f>
        <v>108.32687529915894</v>
      </c>
      <c r="G52" s="14">
        <f>'2005'!$C48</f>
        <v>121.81695392351041</v>
      </c>
      <c r="H52" s="14">
        <f>'2006'!$C48</f>
        <v>132.76316162102461</v>
      </c>
      <c r="I52" s="14">
        <f>'2007'!$C48</f>
        <v>137.69262736034338</v>
      </c>
      <c r="J52" s="14">
        <f>'2008'!$C48</f>
        <v>166.07055947301106</v>
      </c>
      <c r="K52" s="14">
        <f>'2009'!$C48</f>
        <v>172.13937643820782</v>
      </c>
      <c r="L52" s="14">
        <f>'2010'!$C48</f>
        <v>168.52884036208462</v>
      </c>
      <c r="M52" s="14">
        <f>'2011'!$C48</f>
        <v>148.66595275733314</v>
      </c>
      <c r="N52" s="14">
        <f>'2012'!$C48</f>
        <v>150.56879770883492</v>
      </c>
      <c r="O52" s="14">
        <f>'2013'!$C48</f>
        <v>142.49250465926585</v>
      </c>
      <c r="P52" s="14">
        <f>'2014'!$C48</f>
        <v>147.25266382253056</v>
      </c>
      <c r="Q52" s="14">
        <f>'2015'!$C48</f>
        <v>145.89195480192697</v>
      </c>
      <c r="R52" s="14">
        <f>'2016'!$C48</f>
        <v>90.009970683215016</v>
      </c>
      <c r="S52" s="14">
        <f>'2017'!$C48</f>
        <v>94.045916853265695</v>
      </c>
      <c r="T52" s="14">
        <f>'2018'!$C48</f>
        <v>98.647551987643041</v>
      </c>
      <c r="U52" s="14">
        <f>'2019'!$C48</f>
        <v>98.803764703031334</v>
      </c>
      <c r="V52" s="14">
        <f>'2020'!$C48</f>
        <v>84.450788926179584</v>
      </c>
      <c r="W52" s="14">
        <f>'2021'!$C48</f>
        <v>95.182960731720726</v>
      </c>
      <c r="X52" s="14">
        <f>'2022'!$C48</f>
        <v>100.2541715291228</v>
      </c>
    </row>
    <row r="53" spans="2:24" ht="20.100000000000001" customHeight="1" thickBot="1" x14ac:dyDescent="0.25">
      <c r="B53" s="9" t="s">
        <v>67</v>
      </c>
      <c r="C53" s="14">
        <f>'2001'!$C49</f>
        <v>179.83025368577324</v>
      </c>
      <c r="D53" s="14">
        <f>'2002'!$C49</f>
        <v>174.88165355689031</v>
      </c>
      <c r="E53" s="14">
        <f>'2003'!$C49</f>
        <v>178.40902386420501</v>
      </c>
      <c r="F53" s="14">
        <f>'2004'!$C49</f>
        <v>174.88356462432628</v>
      </c>
      <c r="G53" s="14">
        <f>'2005'!$C49</f>
        <v>173.73414809609849</v>
      </c>
      <c r="H53" s="14">
        <f>'2006'!$C49</f>
        <v>177.56139832675856</v>
      </c>
      <c r="I53" s="14">
        <f>'2007'!$C49</f>
        <v>185.05925880750542</v>
      </c>
      <c r="J53" s="14">
        <f>'2008'!$C49</f>
        <v>189.55877908733757</v>
      </c>
      <c r="K53" s="14">
        <f>'2009'!$C49</f>
        <v>190.50064184852374</v>
      </c>
      <c r="L53" s="14">
        <f>'2010'!$C49</f>
        <v>188.86210324988278</v>
      </c>
      <c r="M53" s="14">
        <f>'2011'!$C49</f>
        <v>181.36433774297453</v>
      </c>
      <c r="N53" s="14">
        <f>'2012'!$C49</f>
        <v>189.00947489560517</v>
      </c>
      <c r="O53" s="14">
        <f>'2013'!$C49</f>
        <v>174.39194189365892</v>
      </c>
      <c r="P53" s="14">
        <f>'2014'!$C49</f>
        <v>176.47105658108975</v>
      </c>
      <c r="Q53" s="14">
        <f>'2015'!$C49</f>
        <v>174.96656352929435</v>
      </c>
      <c r="R53" s="14">
        <f>'2016'!$C49</f>
        <v>130.33848409160623</v>
      </c>
      <c r="S53" s="14">
        <f>'2017'!$C49</f>
        <v>135.36765574247178</v>
      </c>
      <c r="T53" s="14">
        <f>'2018'!$C49</f>
        <v>136.12532032086085</v>
      </c>
      <c r="U53" s="14">
        <f>'2019'!$C49</f>
        <v>142.63739093479757</v>
      </c>
      <c r="V53" s="14">
        <f>'2020'!$C49</f>
        <v>125.88921098645118</v>
      </c>
      <c r="W53" s="14">
        <f>'2021'!$C49</f>
        <v>143.22221743480736</v>
      </c>
      <c r="X53" s="14">
        <f>'2022'!$C49</f>
        <v>152.5002274022051</v>
      </c>
    </row>
    <row r="54" spans="2:24" ht="20.100000000000001" customHeight="1" thickBot="1" x14ac:dyDescent="0.25">
      <c r="B54" s="9" t="s">
        <v>68</v>
      </c>
      <c r="C54" s="14">
        <f>'2001'!$C50</f>
        <v>100.49106292678945</v>
      </c>
      <c r="D54" s="14">
        <f>'2002'!$C50</f>
        <v>106.15864850019426</v>
      </c>
      <c r="E54" s="14">
        <f>'2003'!$C50</f>
        <v>111.62500580619903</v>
      </c>
      <c r="F54" s="14">
        <f>'2004'!$C50</f>
        <v>112.93894129979036</v>
      </c>
      <c r="G54" s="14">
        <f>'2005'!$C50</f>
        <v>125.66471832661379</v>
      </c>
      <c r="H54" s="14">
        <f>'2006'!$C50</f>
        <v>130.32094918198189</v>
      </c>
      <c r="I54" s="14">
        <f>'2007'!$C50</f>
        <v>131.85247486222869</v>
      </c>
      <c r="J54" s="14">
        <f>'2008'!$C50</f>
        <v>140.28151483535592</v>
      </c>
      <c r="K54" s="14">
        <f>'2009'!$C50</f>
        <v>147.55480607082629</v>
      </c>
      <c r="L54" s="14">
        <f>'2010'!$C50</f>
        <v>141.15956850999586</v>
      </c>
      <c r="M54" s="14">
        <f>'2011'!$C50</f>
        <v>141.54925716791843</v>
      </c>
      <c r="N54" s="14">
        <f>'2012'!$C50</f>
        <v>140.07244916035944</v>
      </c>
      <c r="O54" s="14">
        <f>'2013'!$C50</f>
        <v>134.90247492300654</v>
      </c>
      <c r="P54" s="14">
        <f>'2014'!$C50</f>
        <v>135.07592449608609</v>
      </c>
      <c r="Q54" s="14">
        <f>'2015'!$C50</f>
        <v>154.97873960779339</v>
      </c>
      <c r="R54" s="14">
        <f>'2016'!$C50</f>
        <v>104.07832857913809</v>
      </c>
      <c r="S54" s="14">
        <f>'2017'!$C50</f>
        <v>101.4826441135267</v>
      </c>
      <c r="T54" s="14">
        <f>'2018'!$C50</f>
        <v>102.41160282244917</v>
      </c>
      <c r="U54" s="14">
        <f>'2019'!$C50</f>
        <v>102.94588223001521</v>
      </c>
      <c r="V54" s="14">
        <f>'2020'!$C50</f>
        <v>92.951432778639273</v>
      </c>
      <c r="W54" s="14">
        <f>'2021'!$C50</f>
        <v>103.52524680632293</v>
      </c>
      <c r="X54" s="14">
        <f>'2022'!$C50</f>
        <v>110.82043172396739</v>
      </c>
    </row>
    <row r="55" spans="2:24" ht="20.100000000000001" customHeight="1" thickBot="1" x14ac:dyDescent="0.25">
      <c r="B55" s="9" t="s">
        <v>69</v>
      </c>
      <c r="C55" s="14">
        <f>'2001'!$C51</f>
        <v>190.77897336734114</v>
      </c>
      <c r="D55" s="14">
        <f>'2002'!$C51</f>
        <v>212.57391739446871</v>
      </c>
      <c r="E55" s="14">
        <f>'2003'!$C51</f>
        <v>216.92929682723621</v>
      </c>
      <c r="F55" s="14">
        <f>'2004'!$C51</f>
        <v>222.42331596389241</v>
      </c>
      <c r="G55" s="14">
        <f>'2005'!$C51</f>
        <v>199.49082312884667</v>
      </c>
      <c r="H55" s="14">
        <f>'2006'!$C51</f>
        <v>210.1781015183559</v>
      </c>
      <c r="I55" s="14">
        <f>'2007'!$C51</f>
        <v>213.42660988023368</v>
      </c>
      <c r="J55" s="14">
        <f>'2008'!$C51</f>
        <v>220.68535646150121</v>
      </c>
      <c r="K55" s="14">
        <f>'2009'!$C51</f>
        <v>223.74783183456265</v>
      </c>
      <c r="L55" s="14">
        <f>'2010'!$C51</f>
        <v>224.83265061705276</v>
      </c>
      <c r="M55" s="14">
        <f>'2011'!$C51</f>
        <v>218.32674775345498</v>
      </c>
      <c r="N55" s="14">
        <f>'2012'!$C51</f>
        <v>217.27264006634437</v>
      </c>
      <c r="O55" s="14">
        <f>'2013'!$C51</f>
        <v>216.67374643115508</v>
      </c>
      <c r="P55" s="14">
        <f>'2014'!$C51</f>
        <v>215.76939817807667</v>
      </c>
      <c r="Q55" s="14">
        <f>'2015'!$C51</f>
        <v>196.54490388775574</v>
      </c>
      <c r="R55" s="14">
        <f>'2016'!$C51</f>
        <v>129.71298217576782</v>
      </c>
      <c r="S55" s="14">
        <f>'2017'!$C51</f>
        <v>128.97216692523486</v>
      </c>
      <c r="T55" s="14">
        <f>'2018'!$C51</f>
        <v>128.327062349508</v>
      </c>
      <c r="U55" s="14">
        <f>'2019'!$C51</f>
        <v>129.11934736038972</v>
      </c>
      <c r="V55" s="14">
        <f>'2020'!$C51</f>
        <v>113.22164331287922</v>
      </c>
      <c r="W55" s="14">
        <f>'2021'!$C51</f>
        <v>129.77320658859094</v>
      </c>
      <c r="X55" s="14">
        <f>'2022'!$C51</f>
        <v>135.68792700882818</v>
      </c>
    </row>
    <row r="56" spans="2:24" ht="20.100000000000001" customHeight="1" thickBot="1" x14ac:dyDescent="0.25">
      <c r="B56" s="9" t="s">
        <v>70</v>
      </c>
      <c r="C56" s="14">
        <f>'2001'!$C52</f>
        <v>108.58137853998291</v>
      </c>
      <c r="D56" s="14">
        <f>'2002'!$C52</f>
        <v>113.56804791937653</v>
      </c>
      <c r="E56" s="14">
        <f>'2003'!$C52</f>
        <v>111.67183411394771</v>
      </c>
      <c r="F56" s="14">
        <f>'2004'!$C52</f>
        <v>115.77488761838258</v>
      </c>
      <c r="G56" s="14">
        <f>'2005'!$C52</f>
        <v>114.69931984521359</v>
      </c>
      <c r="H56" s="14">
        <f>'2006'!$C52</f>
        <v>122.52013304385956</v>
      </c>
      <c r="I56" s="14">
        <f>'2007'!$C52</f>
        <v>121.60097443184853</v>
      </c>
      <c r="J56" s="14">
        <f>'2008'!$C52</f>
        <v>128.59497495932209</v>
      </c>
      <c r="K56" s="14">
        <f>'2009'!$C52</f>
        <v>137.67468270575495</v>
      </c>
      <c r="L56" s="14">
        <f>'2010'!$C52</f>
        <v>144.2503516764996</v>
      </c>
      <c r="M56" s="14">
        <f>'2011'!$C52</f>
        <v>144.78644865211135</v>
      </c>
      <c r="N56" s="14">
        <f>'2012'!$C52</f>
        <v>141.67072215992044</v>
      </c>
      <c r="O56" s="14">
        <f>'2013'!$C52</f>
        <v>126.25012059041066</v>
      </c>
      <c r="P56" s="14">
        <f>'2014'!$C52</f>
        <v>123.73537480617212</v>
      </c>
      <c r="Q56" s="14">
        <f>'2015'!$C52</f>
        <v>124.38740302837175</v>
      </c>
      <c r="R56" s="14">
        <f>'2016'!$C52</f>
        <v>90.848511772545535</v>
      </c>
      <c r="S56" s="14">
        <f>'2017'!$C52</f>
        <v>97.285805878316808</v>
      </c>
      <c r="T56" s="14">
        <f>'2018'!$C52</f>
        <v>103.17155756207674</v>
      </c>
      <c r="U56" s="14">
        <f>'2019'!$C52</f>
        <v>105.80351098876304</v>
      </c>
      <c r="V56" s="14">
        <f>'2020'!$C52</f>
        <v>93.830160658836235</v>
      </c>
      <c r="W56" s="14">
        <f>'2021'!$C52</f>
        <v>111.19249101378074</v>
      </c>
      <c r="X56" s="14">
        <f>'2022'!$C52</f>
        <v>118.92232976889359</v>
      </c>
    </row>
    <row r="57" spans="2:24" ht="20.100000000000001" customHeight="1" thickBot="1" x14ac:dyDescent="0.25">
      <c r="B57" s="9" t="s">
        <v>71</v>
      </c>
      <c r="C57" s="14">
        <f>'2001'!$C53</f>
        <v>266.5622151135625</v>
      </c>
      <c r="D57" s="14">
        <f>'2002'!$C53</f>
        <v>208.60136004410953</v>
      </c>
      <c r="E57" s="14">
        <f>'2003'!$C53</f>
        <v>201.24161314929779</v>
      </c>
      <c r="F57" s="14">
        <f>'2004'!$C53</f>
        <v>198.33448046708122</v>
      </c>
      <c r="G57" s="14">
        <f>'2005'!$C53</f>
        <v>193.48651666106309</v>
      </c>
      <c r="H57" s="14">
        <f>'2006'!$C53</f>
        <v>192.19238130179914</v>
      </c>
      <c r="I57" s="14">
        <f>'2007'!$C53</f>
        <v>194.17388607736922</v>
      </c>
      <c r="J57" s="14">
        <f>'2008'!$C53</f>
        <v>206.45079509947459</v>
      </c>
      <c r="K57" s="14">
        <f>'2009'!$C53</f>
        <v>212.19816731212833</v>
      </c>
      <c r="L57" s="14">
        <f>'2010'!$C53</f>
        <v>220.94950644466985</v>
      </c>
      <c r="M57" s="14">
        <f>'2011'!$C53</f>
        <v>203.23120134187658</v>
      </c>
      <c r="N57" s="14">
        <f>'2012'!$C53</f>
        <v>201.82903688164689</v>
      </c>
      <c r="O57" s="14">
        <f>'2013'!$C53</f>
        <v>191.78007795817709</v>
      </c>
      <c r="P57" s="14">
        <f>'2014'!$C53</f>
        <v>190.61079052439442</v>
      </c>
      <c r="Q57" s="14">
        <f>'2015'!$C53</f>
        <v>177.79879537316643</v>
      </c>
      <c r="R57" s="14">
        <f>'2016'!$C53</f>
        <v>122.30357478679136</v>
      </c>
      <c r="S57" s="14">
        <f>'2017'!$C53</f>
        <v>135.76601030955183</v>
      </c>
      <c r="T57" s="14">
        <f>'2018'!$C53</f>
        <v>137.43526213026229</v>
      </c>
      <c r="U57" s="14">
        <f>'2019'!$C53</f>
        <v>139.35381724545897</v>
      </c>
      <c r="V57" s="14">
        <f>'2020'!$C53</f>
        <v>123.8827971575911</v>
      </c>
      <c r="W57" s="14">
        <f>'2021'!$C53</f>
        <v>143.37432765541908</v>
      </c>
      <c r="X57" s="14">
        <f>'2022'!$C53</f>
        <v>161.16447710045736</v>
      </c>
    </row>
    <row r="58" spans="2:24" ht="20.100000000000001" customHeight="1" thickBot="1" x14ac:dyDescent="0.25">
      <c r="B58" s="9" t="s">
        <v>72</v>
      </c>
      <c r="C58" s="14">
        <f>'2001'!$C54</f>
        <v>76.449905676304567</v>
      </c>
      <c r="D58" s="14">
        <f>'2002'!$C54</f>
        <v>78.664938620378322</v>
      </c>
      <c r="E58" s="14">
        <f>'2003'!$C54</f>
        <v>70.987698830451535</v>
      </c>
      <c r="F58" s="14">
        <f>'2004'!$C54</f>
        <v>77.583917664874789</v>
      </c>
      <c r="G58" s="14">
        <f>'2005'!$C54</f>
        <v>83.031518665258602</v>
      </c>
      <c r="H58" s="14">
        <f>'2006'!$C54</f>
        <v>83.455261676983682</v>
      </c>
      <c r="I58" s="14">
        <f>'2007'!$C54</f>
        <v>83.390028185440769</v>
      </c>
      <c r="J58" s="14">
        <f>'2008'!$C54</f>
        <v>88.420218146032099</v>
      </c>
      <c r="K58" s="14">
        <f>'2009'!$C54</f>
        <v>89.60075229470327</v>
      </c>
      <c r="L58" s="14">
        <f>'2010'!$C54</f>
        <v>93.572967503458912</v>
      </c>
      <c r="M58" s="14">
        <f>'2011'!$C54</f>
        <v>95.451810769879742</v>
      </c>
      <c r="N58" s="14">
        <f>'2012'!$C54</f>
        <v>92.494155627295996</v>
      </c>
      <c r="O58" s="14">
        <f>'2013'!$C54</f>
        <v>91.90268878839241</v>
      </c>
      <c r="P58" s="14">
        <f>'2014'!$C54</f>
        <v>94.596231254230048</v>
      </c>
      <c r="Q58" s="14">
        <f>'2015'!$C54</f>
        <v>88.366970892235059</v>
      </c>
      <c r="R58" s="14">
        <f>'2016'!$C54</f>
        <v>69.47151711601218</v>
      </c>
      <c r="S58" s="14">
        <f>'2017'!$C54</f>
        <v>71.310544252814211</v>
      </c>
      <c r="T58" s="14">
        <f>'2018'!$C54</f>
        <v>76.880777576316021</v>
      </c>
      <c r="U58" s="14">
        <f>'2019'!$C54</f>
        <v>80.53706285364963</v>
      </c>
      <c r="V58" s="14">
        <f>'2020'!$C54</f>
        <v>68.90203911280706</v>
      </c>
      <c r="W58" s="14">
        <f>'2021'!$C54</f>
        <v>79.683377308707122</v>
      </c>
      <c r="X58" s="14">
        <f>'2022'!$C54</f>
        <v>88.334757887695574</v>
      </c>
    </row>
    <row r="59" spans="2:24" ht="20.100000000000001" customHeight="1" thickBot="1" x14ac:dyDescent="0.25">
      <c r="B59" s="9" t="s">
        <v>73</v>
      </c>
      <c r="C59" s="14">
        <f>'2001'!$C55</f>
        <v>93.329801858127965</v>
      </c>
      <c r="D59" s="14">
        <f>'2002'!$C55</f>
        <v>97.954762523374399</v>
      </c>
      <c r="E59" s="14">
        <f>'2003'!$C55</f>
        <v>102.87178631111048</v>
      </c>
      <c r="F59" s="14">
        <f>'2004'!$C55</f>
        <v>97.936200394422713</v>
      </c>
      <c r="G59" s="14">
        <f>'2005'!$C55</f>
        <v>107.8167206012142</v>
      </c>
      <c r="H59" s="14">
        <f>'2006'!$C55</f>
        <v>119.21841141746992</v>
      </c>
      <c r="I59" s="14">
        <f>'2007'!$C55</f>
        <v>119.11585141826176</v>
      </c>
      <c r="J59" s="14">
        <f>'2008'!$C55</f>
        <v>132.44643787031691</v>
      </c>
      <c r="K59" s="14">
        <f>'2009'!$C55</f>
        <v>148.06383086705284</v>
      </c>
      <c r="L59" s="14">
        <f>'2010'!$C55</f>
        <v>139.98100174938642</v>
      </c>
      <c r="M59" s="14">
        <f>'2011'!$C55</f>
        <v>140.69158788646601</v>
      </c>
      <c r="N59" s="14">
        <f>'2012'!$C55</f>
        <v>152.94814039942185</v>
      </c>
      <c r="O59" s="14">
        <f>'2013'!$C55</f>
        <v>147.04271050541684</v>
      </c>
      <c r="P59" s="14">
        <f>'2014'!$C55</f>
        <v>151.95326803368729</v>
      </c>
      <c r="Q59" s="14">
        <f>'2015'!$C55</f>
        <v>149.09045806646083</v>
      </c>
      <c r="R59" s="14">
        <f>'2016'!$C55</f>
        <v>93.684656846800806</v>
      </c>
      <c r="S59" s="14">
        <f>'2017'!$C55</f>
        <v>96.624983074685403</v>
      </c>
      <c r="T59" s="14">
        <f>'2018'!$C55</f>
        <v>103.29492239496881</v>
      </c>
      <c r="U59" s="14">
        <f>'2019'!$C55</f>
        <v>103.23756123676682</v>
      </c>
      <c r="V59" s="14">
        <f>'2020'!$C55</f>
        <v>88.20612357411207</v>
      </c>
      <c r="W59" s="14">
        <f>'2021'!$C55</f>
        <v>100.0855649045747</v>
      </c>
      <c r="X59" s="14">
        <f>'2022'!$C55</f>
        <v>105.83124119858529</v>
      </c>
    </row>
    <row r="60" spans="2:24" ht="20.100000000000001" customHeight="1" thickBot="1" x14ac:dyDescent="0.25">
      <c r="B60" s="9" t="s">
        <v>74</v>
      </c>
      <c r="C60" s="14">
        <f>'2001'!$C56</f>
        <v>182.6443423717094</v>
      </c>
      <c r="D60" s="14">
        <f>'2002'!$C56</f>
        <v>200.362689707577</v>
      </c>
      <c r="E60" s="14">
        <f>'2003'!$C56</f>
        <v>193.89457470315222</v>
      </c>
      <c r="F60" s="14">
        <f>'2004'!$C56</f>
        <v>193.13889116158714</v>
      </c>
      <c r="G60" s="14">
        <f>'2005'!$C56</f>
        <v>197.74702602138186</v>
      </c>
      <c r="H60" s="14">
        <f>'2006'!$C56</f>
        <v>201.16845646519391</v>
      </c>
      <c r="I60" s="14">
        <f>'2007'!$C56</f>
        <v>209.22604337129994</v>
      </c>
      <c r="J60" s="14">
        <f>'2008'!$C56</f>
        <v>210.04329569453395</v>
      </c>
      <c r="K60" s="14">
        <f>'2009'!$C56</f>
        <v>215.13053310563717</v>
      </c>
      <c r="L60" s="14">
        <f>'2010'!$C56</f>
        <v>202.16399918330882</v>
      </c>
      <c r="M60" s="14">
        <f>'2011'!$C56</f>
        <v>197.52753208085099</v>
      </c>
      <c r="N60" s="14">
        <f>'2012'!$C56</f>
        <v>196.80586424632438</v>
      </c>
      <c r="O60" s="14">
        <f>'2013'!$C56</f>
        <v>188.08528744105726</v>
      </c>
      <c r="P60" s="14">
        <f>'2014'!$C56</f>
        <v>189.33554814668926</v>
      </c>
      <c r="Q60" s="14">
        <f>'2015'!$C56</f>
        <v>186.26713560844803</v>
      </c>
      <c r="R60" s="14">
        <f>'2016'!$C56</f>
        <v>124.41633415400288</v>
      </c>
      <c r="S60" s="14">
        <f>'2017'!$C56</f>
        <v>121.02064504092759</v>
      </c>
      <c r="T60" s="14">
        <f>'2018'!$C56</f>
        <v>126.9006187632114</v>
      </c>
      <c r="U60" s="14">
        <f>'2019'!$C56</f>
        <v>128.94776236938256</v>
      </c>
      <c r="V60" s="14">
        <f>'2020'!$C56</f>
        <v>116.76296117675427</v>
      </c>
      <c r="W60" s="14">
        <f>'2021'!$C56</f>
        <v>130.7362728014237</v>
      </c>
      <c r="X60" s="14">
        <f>'2022'!$C56</f>
        <v>140.76017104157398</v>
      </c>
    </row>
    <row r="61" spans="2:24" ht="20.100000000000001" customHeight="1" thickBot="1" x14ac:dyDescent="0.25">
      <c r="B61" s="9" t="s">
        <v>75</v>
      </c>
      <c r="C61" s="14">
        <f>'2001'!$C57</f>
        <v>101.11434429603925</v>
      </c>
      <c r="D61" s="14">
        <f>'2002'!$C57</f>
        <v>120.45925727865718</v>
      </c>
      <c r="E61" s="14">
        <f>'2003'!$C57</f>
        <v>124.32105739262337</v>
      </c>
      <c r="F61" s="14">
        <f>'2004'!$C57</f>
        <v>127.06342013416513</v>
      </c>
      <c r="G61" s="14">
        <f>'2005'!$C57</f>
        <v>134.98253263230706</v>
      </c>
      <c r="H61" s="14">
        <f>'2006'!$C57</f>
        <v>138.20151796151751</v>
      </c>
      <c r="I61" s="14">
        <f>'2007'!$C57</f>
        <v>145.90126538115749</v>
      </c>
      <c r="J61" s="14">
        <f>'2008'!$C57</f>
        <v>155.33468552169205</v>
      </c>
      <c r="K61" s="14">
        <f>'2009'!$C57</f>
        <v>202.42970473642211</v>
      </c>
      <c r="L61" s="14">
        <f>'2010'!$C57</f>
        <v>168.36444044674312</v>
      </c>
      <c r="M61" s="14">
        <f>'2011'!$C57</f>
        <v>153.98392892531697</v>
      </c>
      <c r="N61" s="14">
        <f>'2012'!$C57</f>
        <v>157.3556936437823</v>
      </c>
      <c r="O61" s="14">
        <f>'2013'!$C57</f>
        <v>155.67817180302245</v>
      </c>
      <c r="P61" s="14">
        <f>'2014'!$C57</f>
        <v>158.21013423237338</v>
      </c>
      <c r="Q61" s="14">
        <f>'2015'!$C57</f>
        <v>158.08264676374912</v>
      </c>
      <c r="R61" s="14">
        <f>'2016'!$C57</f>
        <v>104.600337229486</v>
      </c>
      <c r="S61" s="14">
        <f>'2017'!$C57</f>
        <v>102.76898278740428</v>
      </c>
      <c r="T61" s="14">
        <f>'2018'!$C57</f>
        <v>105.67258695279993</v>
      </c>
      <c r="U61" s="14">
        <f>'2019'!$C57</f>
        <v>106.9799401785405</v>
      </c>
      <c r="V61" s="14">
        <f>'2020'!$C57</f>
        <v>96.210690887718982</v>
      </c>
      <c r="W61" s="14">
        <f>'2021'!$C57</f>
        <v>115.03559181378655</v>
      </c>
      <c r="X61" s="14">
        <f>'2022'!$C57</f>
        <v>118.5225690800811</v>
      </c>
    </row>
    <row r="62" spans="2:24" ht="20.100000000000001" customHeight="1" thickBot="1" x14ac:dyDescent="0.25">
      <c r="B62" s="9" t="s">
        <v>76</v>
      </c>
      <c r="C62" s="14">
        <f>'2001'!$C58</f>
        <v>89.401846251161317</v>
      </c>
      <c r="D62" s="14">
        <f>'2002'!$C58</f>
        <v>94.768733991767917</v>
      </c>
      <c r="E62" s="14">
        <f>'2003'!$C58</f>
        <v>91.983494251031615</v>
      </c>
      <c r="F62" s="14">
        <f>'2004'!$C58</f>
        <v>95.35371038262376</v>
      </c>
      <c r="G62" s="14">
        <f>'2005'!$C58</f>
        <v>103.09778080739227</v>
      </c>
      <c r="H62" s="14">
        <f>'2006'!$C58</f>
        <v>101.3965122637879</v>
      </c>
      <c r="I62" s="14">
        <f>'2007'!$C58</f>
        <v>106.54694605981636</v>
      </c>
      <c r="J62" s="14">
        <f>'2008'!$C58</f>
        <v>113.57309819948181</v>
      </c>
      <c r="K62" s="14">
        <f>'2009'!$C58</f>
        <v>132.98239337643423</v>
      </c>
      <c r="L62" s="14">
        <f>'2010'!$C58</f>
        <v>147.15211055845614</v>
      </c>
      <c r="M62" s="14">
        <f>'2011'!$C58</f>
        <v>149.21166803700427</v>
      </c>
      <c r="N62" s="14">
        <f>'2012'!$C58</f>
        <v>133.50416466609607</v>
      </c>
      <c r="O62" s="14">
        <f>'2013'!$C58</f>
        <v>135.94837201890903</v>
      </c>
      <c r="P62" s="14">
        <f>'2014'!$C58</f>
        <v>142.44574830665687</v>
      </c>
      <c r="Q62" s="14">
        <f>'2015'!$C58</f>
        <v>135.9166139689047</v>
      </c>
      <c r="R62" s="14">
        <f>'2016'!$C58</f>
        <v>97.513386472733714</v>
      </c>
      <c r="S62" s="14">
        <f>'2017'!$C58</f>
        <v>104.39448941399291</v>
      </c>
      <c r="T62" s="14">
        <f>'2018'!$C58</f>
        <v>102.6874974935405</v>
      </c>
      <c r="U62" s="14">
        <f>'2019'!$C58</f>
        <v>106.7410846243458</v>
      </c>
      <c r="V62" s="14">
        <f>'2020'!$C58</f>
        <v>94.783923839894953</v>
      </c>
      <c r="W62" s="14">
        <f>'2021'!$C58</f>
        <v>107.57741887687065</v>
      </c>
      <c r="X62" s="14">
        <f>'2022'!$C58</f>
        <v>112.45517854496963</v>
      </c>
    </row>
    <row r="63" spans="2:24" ht="20.100000000000001" customHeight="1" thickBot="1" x14ac:dyDescent="0.25">
      <c r="B63" s="9" t="s">
        <v>77</v>
      </c>
      <c r="C63" s="14">
        <f>'2001'!$C59</f>
        <v>115.00702570650621</v>
      </c>
      <c r="D63" s="14">
        <f>'2002'!$C59</f>
        <v>138.12529484888242</v>
      </c>
      <c r="E63" s="14">
        <f>'2003'!$C59</f>
        <v>132.53677347810179</v>
      </c>
      <c r="F63" s="14">
        <f>'2004'!$C59</f>
        <v>133.88644341672705</v>
      </c>
      <c r="G63" s="14">
        <f>'2005'!$C59</f>
        <v>138.77961389013149</v>
      </c>
      <c r="H63" s="14">
        <f>'2006'!$C59</f>
        <v>155.58145315320814</v>
      </c>
      <c r="I63" s="14">
        <f>'2007'!$C59</f>
        <v>172.26879942348648</v>
      </c>
      <c r="J63" s="14">
        <f>'2008'!$C59</f>
        <v>184.16179658607612</v>
      </c>
      <c r="K63" s="14">
        <f>'2009'!$C59</f>
        <v>191.07957947590106</v>
      </c>
      <c r="L63" s="14">
        <f>'2010'!$C59</f>
        <v>171.26910604858762</v>
      </c>
      <c r="M63" s="14">
        <f>'2011'!$C59</f>
        <v>162.2767318213341</v>
      </c>
      <c r="N63" s="14">
        <f>'2012'!$C59</f>
        <v>156.71025323832211</v>
      </c>
      <c r="O63" s="14">
        <f>'2013'!$C59</f>
        <v>144.95962756402264</v>
      </c>
      <c r="P63" s="14">
        <f>'2014'!$C59</f>
        <v>153.77388656103304</v>
      </c>
      <c r="Q63" s="14">
        <f>'2015'!$C59</f>
        <v>149.06182597180353</v>
      </c>
      <c r="R63" s="14">
        <f>'2016'!$C59</f>
        <v>107.7056770754976</v>
      </c>
      <c r="S63" s="14">
        <f>'2017'!$C59</f>
        <v>114.48411408243015</v>
      </c>
      <c r="T63" s="14">
        <f>'2018'!$C59</f>
        <v>115.14111169645092</v>
      </c>
      <c r="U63" s="14">
        <f>'2019'!$C59</f>
        <v>120.46423058942067</v>
      </c>
      <c r="V63" s="14">
        <f>'2020'!$C59</f>
        <v>96.381800832469608</v>
      </c>
      <c r="W63" s="14">
        <f>'2021'!$C59</f>
        <v>114.6372119753745</v>
      </c>
      <c r="X63" s="14">
        <f>'2022'!$C59</f>
        <v>122.51667266179614</v>
      </c>
    </row>
    <row r="64" spans="2:24" ht="20.100000000000001" customHeight="1" thickBot="1" x14ac:dyDescent="0.25">
      <c r="B64" s="9" t="s">
        <v>78</v>
      </c>
      <c r="C64" s="14">
        <f>'2001'!$C60</f>
        <v>250.77284857452375</v>
      </c>
      <c r="D64" s="14">
        <f>'2002'!$C60</f>
        <v>267.22870049374939</v>
      </c>
      <c r="E64" s="14">
        <f>'2003'!$C60</f>
        <v>264.25644926665865</v>
      </c>
      <c r="F64" s="14">
        <f>'2004'!$C60</f>
        <v>279.3152409783803</v>
      </c>
      <c r="G64" s="14">
        <f>'2005'!$C60</f>
        <v>268.89048302247733</v>
      </c>
      <c r="H64" s="14">
        <f>'2006'!$C60</f>
        <v>263.00734237618798</v>
      </c>
      <c r="I64" s="14">
        <f>'2007'!$C60</f>
        <v>263.09674555826797</v>
      </c>
      <c r="J64" s="14">
        <f>'2008'!$C60</f>
        <v>243.63927689981779</v>
      </c>
      <c r="K64" s="14">
        <f>'2009'!$C60</f>
        <v>226.84749726720392</v>
      </c>
      <c r="L64" s="14">
        <f>'2010'!$C60</f>
        <v>230.22127353280629</v>
      </c>
      <c r="M64" s="14">
        <f>'2011'!$C60</f>
        <v>221.80003884626589</v>
      </c>
      <c r="N64" s="14">
        <f>'2012'!$C60</f>
        <v>246.41148325358853</v>
      </c>
      <c r="O64" s="14">
        <f>'2013'!$C60</f>
        <v>217.28439059158944</v>
      </c>
      <c r="P64" s="14">
        <f>'2014'!$C60</f>
        <v>202.0997375328084</v>
      </c>
      <c r="Q64" s="14">
        <f>'2015'!$C60</f>
        <v>197.42947675729562</v>
      </c>
      <c r="R64" s="14">
        <f>'2016'!$C60</f>
        <v>169.19272589595238</v>
      </c>
      <c r="S64" s="14">
        <f>'2017'!$C60</f>
        <v>184.00640308854861</v>
      </c>
      <c r="T64" s="14">
        <f>'2018'!$C60</f>
        <v>172.17889692755801</v>
      </c>
      <c r="U64" s="14">
        <f>'2019'!$C60</f>
        <v>188.32938178987223</v>
      </c>
      <c r="V64" s="14">
        <f>'2020'!$C60</f>
        <v>155.50699508325218</v>
      </c>
      <c r="W64" s="14">
        <f>'2021'!$C60</f>
        <v>171.11486284229557</v>
      </c>
      <c r="X64" s="14">
        <f>'2022'!$C60</f>
        <v>173.17432379036603</v>
      </c>
    </row>
    <row r="65" spans="2:24" ht="20.100000000000001" customHeight="1" thickBot="1" x14ac:dyDescent="0.25">
      <c r="B65" s="9" t="s">
        <v>79</v>
      </c>
      <c r="C65" s="14">
        <f>'2001'!$C61</f>
        <v>249.24043088284463</v>
      </c>
      <c r="D65" s="14">
        <f>'2002'!$C61</f>
        <v>250.04336262719707</v>
      </c>
      <c r="E65" s="14">
        <f>'2003'!$C61</f>
        <v>274.6593050260725</v>
      </c>
      <c r="F65" s="14">
        <f>'2004'!$C61</f>
        <v>291.96071512585274</v>
      </c>
      <c r="G65" s="14">
        <f>'2005'!$C61</f>
        <v>300.78793061324211</v>
      </c>
      <c r="H65" s="14">
        <f>'2006'!$C61</f>
        <v>271.2087451959743</v>
      </c>
      <c r="I65" s="14">
        <f>'2007'!$C61</f>
        <v>260.15264976958525</v>
      </c>
      <c r="J65" s="14">
        <f>'2008'!$C61</f>
        <v>287.76172880976372</v>
      </c>
      <c r="K65" s="14">
        <f>'2009'!$C61</f>
        <v>284.60386604955079</v>
      </c>
      <c r="L65" s="14">
        <f>'2010'!$C61</f>
        <v>262.01436199594917</v>
      </c>
      <c r="M65" s="14">
        <f>'2011'!$C61</f>
        <v>266.00489321576021</v>
      </c>
      <c r="N65" s="14">
        <f>'2012'!$C61</f>
        <v>262.8276527808718</v>
      </c>
      <c r="O65" s="14">
        <f>'2013'!$C61</f>
        <v>265.07247935563282</v>
      </c>
      <c r="P65" s="14">
        <f>'2014'!$C61</f>
        <v>248.95573252552984</v>
      </c>
      <c r="Q65" s="14">
        <f>'2015'!$C61</f>
        <v>220.42671527388296</v>
      </c>
      <c r="R65" s="14">
        <f>'2016'!$C61</f>
        <v>153.39548508590426</v>
      </c>
      <c r="S65" s="14">
        <f>'2017'!$C61</f>
        <v>149.04784022294473</v>
      </c>
      <c r="T65" s="14">
        <f>'2018'!$C61</f>
        <v>156.56834598999814</v>
      </c>
      <c r="U65" s="14">
        <f>'2019'!$C61</f>
        <v>160.81029518887232</v>
      </c>
      <c r="V65" s="14">
        <f>'2020'!$C61</f>
        <v>148.82401580228765</v>
      </c>
      <c r="W65" s="14">
        <f>'2021'!$C61</f>
        <v>157.02345208147366</v>
      </c>
      <c r="X65" s="14">
        <f>'2022'!$C61</f>
        <v>161.25479648972305</v>
      </c>
    </row>
    <row r="66" spans="2:24" ht="20.100000000000001" customHeight="1" thickBot="1" x14ac:dyDescent="0.25">
      <c r="B66" s="12" t="s">
        <v>6</v>
      </c>
      <c r="C66" s="15">
        <f>'2001'!$C62</f>
        <v>146.06638579483541</v>
      </c>
      <c r="D66" s="15">
        <f>'2002'!$C62</f>
        <v>152.6650959419251</v>
      </c>
      <c r="E66" s="15">
        <f>'2003'!$C62</f>
        <v>157.27849865237005</v>
      </c>
      <c r="F66" s="15">
        <f>'2004'!$C62</f>
        <v>160.04008577490075</v>
      </c>
      <c r="G66" s="15">
        <f>'2005'!$C62</f>
        <v>165.83161792979544</v>
      </c>
      <c r="H66" s="15">
        <f>'2006'!$C62</f>
        <v>173.25622971265307</v>
      </c>
      <c r="I66" s="15">
        <f>'2007'!$C62</f>
        <v>179.55753024147575</v>
      </c>
      <c r="J66" s="15">
        <f>'2008'!$C62</f>
        <v>194.22552955059047</v>
      </c>
      <c r="K66" s="15">
        <f>'2009'!$C62</f>
        <v>205.43779271260331</v>
      </c>
      <c r="L66" s="15">
        <f>'2010'!$C62</f>
        <v>202.43709263728789</v>
      </c>
      <c r="M66" s="15">
        <f>'2011'!$C62</f>
        <v>196.26687908554413</v>
      </c>
      <c r="N66" s="15">
        <f>'2012'!$C62</f>
        <v>195.56839270317278</v>
      </c>
      <c r="O66" s="15">
        <f>'2013'!$C62</f>
        <v>187.86634032558356</v>
      </c>
      <c r="P66" s="15">
        <f>'2014'!$C62</f>
        <v>187.86883108550839</v>
      </c>
      <c r="Q66" s="15">
        <f>'2015'!$C62</f>
        <v>182.05589127850106</v>
      </c>
      <c r="R66" s="15">
        <f>'2016'!$C62</f>
        <v>124.82078338178721</v>
      </c>
      <c r="S66" s="15">
        <f>'2017'!$C62</f>
        <v>126.16744709046174</v>
      </c>
      <c r="T66" s="15">
        <f>'2018'!$C62</f>
        <v>128.29023320002278</v>
      </c>
      <c r="U66" s="15">
        <f>'2019'!$C62</f>
        <v>133.5277128872479</v>
      </c>
      <c r="V66" s="15">
        <f>'2020'!$C62</f>
        <v>116.54080822038915</v>
      </c>
      <c r="W66" s="15">
        <f>'2021'!$C62</f>
        <v>132.38526611325369</v>
      </c>
      <c r="X66" s="15">
        <f>'2022'!$C62</f>
        <v>141.08443397627022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4"/>
  <dimension ref="B8:Q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7.5703125" style="1" customWidth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17" ht="13.5" thickBot="1" x14ac:dyDescent="0.25"/>
    <row r="9" spans="2:1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17" ht="20.100000000000001" customHeight="1" thickBot="1" x14ac:dyDescent="0.25">
      <c r="B10" s="9" t="s">
        <v>31</v>
      </c>
      <c r="C10" s="14">
        <f>[690]NºAsuntos!$E$36/Población!$K$10*1000</f>
        <v>141.98123679503905</v>
      </c>
      <c r="D10" s="14">
        <f>[690]NºAsuntos!$E$17/Población!$K$10*1000</f>
        <v>38.037770865397327</v>
      </c>
      <c r="E10" s="14">
        <f>[690]NºAsuntos!$E$28/Población!$K$10*1000</f>
        <v>92.636152969260976</v>
      </c>
      <c r="F10" s="14">
        <f>[690]NºAsuntos!$E$31/Población!$K$10*1000</f>
        <v>2.8661157272176228</v>
      </c>
      <c r="G10" s="14">
        <f>[690]NºAsuntos!$E$35/Población!$K$10*1000</f>
        <v>8.4411972331631286</v>
      </c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17" ht="20.100000000000001" customHeight="1" thickBot="1" x14ac:dyDescent="0.25">
      <c r="B11" s="9" t="s">
        <v>32</v>
      </c>
      <c r="C11" s="14">
        <f>[691]NºAsuntos!$E$36/Población!$K$11*1000</f>
        <v>212.98719048185404</v>
      </c>
      <c r="D11" s="14">
        <f>[691]NºAsuntos!$E$17/Población!$K$11*1000</f>
        <v>47.762872637208318</v>
      </c>
      <c r="E11" s="14">
        <f>[691]NºAsuntos!$E$28/Población!$K$11*1000</f>
        <v>153.6255380769656</v>
      </c>
      <c r="F11" s="14">
        <f>[691]NºAsuntos!$E$31/Población!$K$11*1000</f>
        <v>2.7563729387192151</v>
      </c>
      <c r="G11" s="14">
        <f>[691]NºAsuntos!$E$35/Población!$K$11*1000</f>
        <v>8.8424068289609039</v>
      </c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17" ht="20.100000000000001" customHeight="1" thickBot="1" x14ac:dyDescent="0.25">
      <c r="B12" s="9" t="s">
        <v>33</v>
      </c>
      <c r="C12" s="14">
        <f>[692]NºAsuntos!$E$36/Población!$K$12*1000</f>
        <v>257.88324815246642</v>
      </c>
      <c r="D12" s="14">
        <f>[692]NºAsuntos!$E$17/Población!$K$12*1000</f>
        <v>50.26401685499966</v>
      </c>
      <c r="E12" s="14">
        <f>[692]NºAsuntos!$E$28/Población!$K$12*1000</f>
        <v>193.804735647097</v>
      </c>
      <c r="F12" s="14">
        <f>[692]NºAsuntos!$E$31/Población!$K$12*1000</f>
        <v>4.6447680245928709</v>
      </c>
      <c r="G12" s="14">
        <f>[692]NºAsuntos!$E$35/Población!$K$12*1000</f>
        <v>9.1697276257769271</v>
      </c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17" ht="20.100000000000001" customHeight="1" thickBot="1" x14ac:dyDescent="0.25">
      <c r="B13" s="9" t="s">
        <v>34</v>
      </c>
      <c r="C13" s="14">
        <f>[693]NºAsuntos!$E$36/Población!$K$13*1000</f>
        <v>161.62182659431073</v>
      </c>
      <c r="D13" s="14">
        <f>[693]NºAsuntos!$E$17/Población!$K$13*1000</f>
        <v>35.166768105181646</v>
      </c>
      <c r="E13" s="14">
        <f>[693]NºAsuntos!$E$28/Población!$K$13*1000</f>
        <v>99.522336123689129</v>
      </c>
      <c r="F13" s="14">
        <f>[693]NºAsuntos!$E$31/Población!$K$13*1000</f>
        <v>15.77979663436567</v>
      </c>
      <c r="G13" s="14">
        <f>[693]NºAsuntos!$E$35/Población!$K$13*1000</f>
        <v>11.152925731074282</v>
      </c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2:17" ht="20.100000000000001" customHeight="1" thickBot="1" x14ac:dyDescent="0.25">
      <c r="B14" s="9" t="s">
        <v>35</v>
      </c>
      <c r="C14" s="14">
        <f>[694]NºAsuntos!$E$36/Población!$K$14*1000</f>
        <v>156.90843637040456</v>
      </c>
      <c r="D14" s="14">
        <f>[694]NºAsuntos!$E$17/Población!$K$14*1000</f>
        <v>42.720418248042684</v>
      </c>
      <c r="E14" s="14">
        <f>[694]NºAsuntos!$E$28/Población!$K$14*1000</f>
        <v>99.453693900887231</v>
      </c>
      <c r="F14" s="14">
        <f>[694]NºAsuntos!$E$31/Población!$K$14*1000</f>
        <v>2.8103113548557115</v>
      </c>
      <c r="G14" s="14">
        <f>[694]NºAsuntos!$E$35/Población!$K$14*1000</f>
        <v>11.924012866618938</v>
      </c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2:17" ht="20.100000000000001" customHeight="1" thickBot="1" x14ac:dyDescent="0.25">
      <c r="B15" s="9" t="s">
        <v>36</v>
      </c>
      <c r="C15" s="14">
        <f>[695]NºAsuntos!$E$36/Población!$K$15*1000</f>
        <v>140.32502329916122</v>
      </c>
      <c r="D15" s="14">
        <f>[695]NºAsuntos!$E$17/Población!$K$15*1000</f>
        <v>33.451770736253494</v>
      </c>
      <c r="E15" s="14">
        <f>[695]NºAsuntos!$E$28/Población!$K$15*1000</f>
        <v>102.02702702702703</v>
      </c>
      <c r="F15" s="14">
        <f>[695]NºAsuntos!$E$31/Población!$K$15*1000</f>
        <v>2.1901211556383968</v>
      </c>
      <c r="G15" s="14">
        <f>[695]NºAsuntos!$E$35/Población!$K$15*1000</f>
        <v>2.6561043802423114</v>
      </c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2:17" ht="20.100000000000001" customHeight="1" thickBot="1" x14ac:dyDescent="0.25">
      <c r="B16" s="9" t="s">
        <v>37</v>
      </c>
      <c r="C16" s="14">
        <f>[696]NºAsuntos!$E$36/Población!$K$16*1000</f>
        <v>155.87483321887927</v>
      </c>
      <c r="D16" s="14">
        <f>[696]NºAsuntos!$E$17/Población!$K$16*1000</f>
        <v>35.992781408206135</v>
      </c>
      <c r="E16" s="14">
        <f>[696]NºAsuntos!$E$28/Población!$K$16*1000</f>
        <v>112.0377132221314</v>
      </c>
      <c r="F16" s="14">
        <f>[696]NºAsuntos!$E$31/Población!$K$16*1000</f>
        <v>2.6031647398214517</v>
      </c>
      <c r="G16" s="14">
        <f>[696]NºAsuntos!$E$35/Población!$K$16*1000</f>
        <v>5.2411738487202673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2:17" ht="20.100000000000001" customHeight="1" thickBot="1" x14ac:dyDescent="0.25">
      <c r="B17" s="9" t="s">
        <v>29</v>
      </c>
      <c r="C17" s="14">
        <f>[697]NºAsuntos!$E$36/Población!$K$17*1000</f>
        <v>202.78777388887974</v>
      </c>
      <c r="D17" s="14">
        <f>[697]NºAsuntos!$E$17/Población!$K$17*1000</f>
        <v>47.470116648682797</v>
      </c>
      <c r="E17" s="14">
        <f>[697]NºAsuntos!$E$28/Población!$K$17*1000</f>
        <v>146.30198662438173</v>
      </c>
      <c r="F17" s="14">
        <f>[697]NºAsuntos!$E$31/Población!$K$17*1000</f>
        <v>2.1434583440597539</v>
      </c>
      <c r="G17" s="14">
        <f>[697]NºAsuntos!$E$35/Población!$K$17*1000</f>
        <v>6.8722122717554637</v>
      </c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20.100000000000001" customHeight="1" thickBot="1" x14ac:dyDescent="0.25">
      <c r="B18" s="9" t="s">
        <v>38</v>
      </c>
      <c r="C18" s="14">
        <f>[698]NºAsuntos!$E$36/Población!$K$18*1000</f>
        <v>189.57422054014853</v>
      </c>
      <c r="D18" s="14">
        <f>[698]NºAsuntos!$E$17/Población!$K$18*1000</f>
        <v>44.11841612555542</v>
      </c>
      <c r="E18" s="14">
        <f>[698]NºAsuntos!$E$28/Población!$K$18*1000</f>
        <v>133.77527248409464</v>
      </c>
      <c r="F18" s="14">
        <f>[698]NºAsuntos!$E$31/Población!$K$18*1000</f>
        <v>2.2465645092370807</v>
      </c>
      <c r="G18" s="14">
        <f>[698]NºAsuntos!$E$35/Población!$K$18*1000</f>
        <v>9.433967421261368</v>
      </c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ht="20.100000000000001" customHeight="1" thickBot="1" x14ac:dyDescent="0.25">
      <c r="B19" s="9" t="s">
        <v>39</v>
      </c>
      <c r="C19" s="14">
        <f>[699]NºAsuntos!$E$36/Población!$K$19*1000</f>
        <v>143.71565546762352</v>
      </c>
      <c r="D19" s="14">
        <f>[699]NºAsuntos!$E$17/Población!$K$19*1000</f>
        <v>33.224078607878489</v>
      </c>
      <c r="E19" s="14">
        <f>[699]NºAsuntos!$E$28/Población!$K$19*1000</f>
        <v>93.432744144403628</v>
      </c>
      <c r="F19" s="14">
        <f>[699]NºAsuntos!$E$31/Población!$K$19*1000</f>
        <v>8.430080735135661</v>
      </c>
      <c r="G19" s="14">
        <f>[699]NºAsuntos!$E$35/Población!$K$19*1000</f>
        <v>8.6287519802057506</v>
      </c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ht="20.100000000000001" customHeight="1" thickBot="1" x14ac:dyDescent="0.25">
      <c r="B20" s="9" t="s">
        <v>40</v>
      </c>
      <c r="C20" s="14">
        <f>[700]NºAsuntos!$E$36/Población!$K$20*1000</f>
        <v>169.81971067437422</v>
      </c>
      <c r="D20" s="14">
        <f>[700]NºAsuntos!$E$17/Población!$K$20*1000</f>
        <v>42.92488876699781</v>
      </c>
      <c r="E20" s="14">
        <f>[700]NºAsuntos!$E$28/Población!$K$20*1000</f>
        <v>114.29240899662641</v>
      </c>
      <c r="F20" s="14">
        <f>[700]NºAsuntos!$E$31/Población!$K$20*1000</f>
        <v>4.0632330660901106</v>
      </c>
      <c r="G20" s="14">
        <f>[700]NºAsuntos!$E$35/Población!$K$20*1000</f>
        <v>8.5391798446598841</v>
      </c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ht="20.100000000000001" customHeight="1" thickBot="1" x14ac:dyDescent="0.25">
      <c r="B21" s="9" t="s">
        <v>41</v>
      </c>
      <c r="C21" s="14">
        <f>[701]NºAsuntos!$E$36/Población!$K$21*1000</f>
        <v>130.71007390609549</v>
      </c>
      <c r="D21" s="14">
        <f>[701]NºAsuntos!$E$17/Población!$K$21*1000</f>
        <v>30.207937954660288</v>
      </c>
      <c r="E21" s="14">
        <f>[701]NºAsuntos!$E$28/Población!$K$21*1000</f>
        <v>92.988228695486086</v>
      </c>
      <c r="F21" s="14">
        <f>[701]NºAsuntos!$E$31/Población!$K$21*1000</f>
        <v>2.1154018175532414</v>
      </c>
      <c r="G21" s="14">
        <f>[701]NºAsuntos!$E$35/Población!$K$21*1000</f>
        <v>5.3985054383958726</v>
      </c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ht="20.100000000000001" customHeight="1" thickBot="1" x14ac:dyDescent="0.25">
      <c r="B22" s="9" t="s">
        <v>42</v>
      </c>
      <c r="C22" s="14">
        <f>[702]NºAsuntos!$E$36/Población!$K$22*1000</f>
        <v>205.82905491169308</v>
      </c>
      <c r="D22" s="14">
        <f>[702]NºAsuntos!$E$17/Población!$K$22*1000</f>
        <v>40.230977885476442</v>
      </c>
      <c r="E22" s="14">
        <f>[702]NºAsuntos!$E$28/Población!$K$22*1000</f>
        <v>150.89542123559843</v>
      </c>
      <c r="F22" s="14">
        <f>[702]NºAsuntos!$E$31/Población!$K$22*1000</f>
        <v>7.3980532978382803</v>
      </c>
      <c r="G22" s="14">
        <f>[702]NºAsuntos!$E$35/Población!$K$22*1000</f>
        <v>7.3046024927799094</v>
      </c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2:17" ht="20.100000000000001" customHeight="1" thickBot="1" x14ac:dyDescent="0.25">
      <c r="B23" s="9" t="s">
        <v>5</v>
      </c>
      <c r="C23" s="14">
        <f>[703]NºAsuntos!$E$36/Población!$K$23*1000</f>
        <v>186.35858358719358</v>
      </c>
      <c r="D23" s="14">
        <f>[703]NºAsuntos!$E$17/Población!$K$23*1000</f>
        <v>48.927847123813081</v>
      </c>
      <c r="E23" s="14">
        <f>[703]NºAsuntos!$E$28/Población!$K$23*1000</f>
        <v>123.0867141293372</v>
      </c>
      <c r="F23" s="14">
        <f>[703]NºAsuntos!$E$31/Población!$K$23*1000</f>
        <v>4.2071499486622486</v>
      </c>
      <c r="G23" s="14">
        <f>[703]NºAsuntos!$E$35/Población!$K$23*1000</f>
        <v>10.136872385381045</v>
      </c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2:17" ht="20.100000000000001" customHeight="1" thickBot="1" x14ac:dyDescent="0.25">
      <c r="B24" s="9" t="s">
        <v>43</v>
      </c>
      <c r="C24" s="14">
        <f>[704]NºAsuntos!$E$36/Población!$K$24*1000</f>
        <v>191.60353378128212</v>
      </c>
      <c r="D24" s="14">
        <f>[704]NºAsuntos!$E$17/Población!$K$24*1000</f>
        <v>51.284988734868449</v>
      </c>
      <c r="E24" s="14">
        <f>[704]NºAsuntos!$E$28/Población!$K$24*1000</f>
        <v>126.52643777778886</v>
      </c>
      <c r="F24" s="14">
        <f>[704]NºAsuntos!$E$31/Población!$K$24*1000</f>
        <v>4.0079627960106325</v>
      </c>
      <c r="G24" s="14">
        <f>[704]NºAsuntos!$E$35/Población!$K$24*1000</f>
        <v>9.7841444726141908</v>
      </c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17" ht="20.100000000000001" customHeight="1" thickBot="1" x14ac:dyDescent="0.25">
      <c r="B25" s="9" t="s">
        <v>44</v>
      </c>
      <c r="C25" s="14">
        <f>[705]NºAsuntos!$E$36/Población!$K$25*1000</f>
        <v>151.94595589002282</v>
      </c>
      <c r="D25" s="14">
        <f>[705]NºAsuntos!$E$17/Población!$K$25*1000</f>
        <v>35.042568081430304</v>
      </c>
      <c r="E25" s="14">
        <f>[705]NºAsuntos!$E$28/Población!$K$25*1000</f>
        <v>107.72787531316794</v>
      </c>
      <c r="F25" s="14">
        <f>[705]NºAsuntos!$E$31/Población!$K$25*1000</f>
        <v>1.7049991181039046</v>
      </c>
      <c r="G25" s="14">
        <f>[705]NºAsuntos!$E$35/Población!$K$25*1000</f>
        <v>7.4705133773206667</v>
      </c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2:17" ht="20.100000000000001" customHeight="1" thickBot="1" x14ac:dyDescent="0.25">
      <c r="B26" s="9" t="s">
        <v>45</v>
      </c>
      <c r="C26" s="14">
        <f>[706]NºAsuntos!$E$36/Población!$K$26*1000</f>
        <v>188.62111597292531</v>
      </c>
      <c r="D26" s="14">
        <f>[706]NºAsuntos!$E$17/Población!$K$26*1000</f>
        <v>37.603327371461127</v>
      </c>
      <c r="E26" s="14">
        <f>[706]NºAsuntos!$E$28/Población!$K$26*1000</f>
        <v>137.86601459207608</v>
      </c>
      <c r="F26" s="14">
        <f>[706]NºAsuntos!$E$31/Población!$K$26*1000</f>
        <v>5.3059833482172838</v>
      </c>
      <c r="G26" s="14">
        <f>[706]NºAsuntos!$E$35/Población!$K$26*1000</f>
        <v>7.845790661170799</v>
      </c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2:17" ht="20.100000000000001" customHeight="1" thickBot="1" x14ac:dyDescent="0.25">
      <c r="B27" s="9" t="s">
        <v>46</v>
      </c>
      <c r="C27" s="14">
        <f>[707]NºAsuntos!$E$36/Población!$K$27*1000</f>
        <v>165.55127596273377</v>
      </c>
      <c r="D27" s="14">
        <f>[707]NºAsuntos!$E$17/Población!$K$27*1000</f>
        <v>40.328663416814493</v>
      </c>
      <c r="E27" s="14">
        <f>[707]NºAsuntos!$E$28/Población!$K$27*1000</f>
        <v>112.46298520805107</v>
      </c>
      <c r="F27" s="14">
        <f>[707]NºAsuntos!$E$31/Población!$K$27*1000</f>
        <v>3.6360049166817987</v>
      </c>
      <c r="G27" s="14">
        <f>[707]NºAsuntos!$E$35/Población!$K$27*1000</f>
        <v>9.123622421186429</v>
      </c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2:17" ht="20.100000000000001" customHeight="1" thickBot="1" x14ac:dyDescent="0.25">
      <c r="B28" s="9" t="s">
        <v>47</v>
      </c>
      <c r="C28" s="14">
        <f>[708]NºAsuntos!$E$36/Población!$K$28*1000</f>
        <v>147.37558830159685</v>
      </c>
      <c r="D28" s="14">
        <f>[708]NºAsuntos!$E$17/Población!$K$28*1000</f>
        <v>29.913094684927977</v>
      </c>
      <c r="E28" s="14">
        <f>[708]NºAsuntos!$E$28/Población!$K$28*1000</f>
        <v>109.5908687311088</v>
      </c>
      <c r="F28" s="14">
        <f>[708]NºAsuntos!$E$31/Población!$K$28*1000</f>
        <v>3.1238067196348966</v>
      </c>
      <c r="G28" s="14">
        <f>[708]NºAsuntos!$E$35/Población!$K$28*1000</f>
        <v>4.747818165925203</v>
      </c>
    </row>
    <row r="29" spans="2:17" ht="20.100000000000001" customHeight="1" thickBot="1" x14ac:dyDescent="0.25">
      <c r="B29" s="9" t="s">
        <v>48</v>
      </c>
      <c r="C29" s="14">
        <f>[709]NºAsuntos!$E$36/Población!$K$10*1000</f>
        <v>218.85749493004334</v>
      </c>
      <c r="D29" s="14">
        <f>[709]NºAsuntos!$E$17/Población!$K$10*1000</f>
        <v>47.444317782140281</v>
      </c>
      <c r="E29" s="14">
        <f>[709]NºAsuntos!$E$28/Población!$K$10*1000</f>
        <v>151.83927800823665</v>
      </c>
      <c r="F29" s="14">
        <f>[709]NºAsuntos!$E$31/Población!$K$10*1000</f>
        <v>8.0046695984694107</v>
      </c>
      <c r="G29" s="14">
        <f>[709]NºAsuntos!$E$35/Población!$K$10*1000</f>
        <v>11.569229541196984</v>
      </c>
    </row>
    <row r="30" spans="2:17" ht="20.100000000000001" customHeight="1" thickBot="1" x14ac:dyDescent="0.25">
      <c r="B30" s="9" t="s">
        <v>49</v>
      </c>
      <c r="C30" s="14">
        <f>[710]NºAsuntos!$E$36/Población!$K$30*1000</f>
        <v>180.38278535722978</v>
      </c>
      <c r="D30" s="14">
        <f>[710]NºAsuntos!$E$17/Población!$K$30*1000</f>
        <v>42.715657771917485</v>
      </c>
      <c r="E30" s="14">
        <f>[710]NºAsuntos!$E$28/Población!$K$30*1000</f>
        <v>128.86509704700032</v>
      </c>
      <c r="F30" s="14">
        <f>[710]NºAsuntos!$E$31/Población!$K$30*1000</f>
        <v>2.8029559417049357</v>
      </c>
      <c r="G30" s="14">
        <f>[710]NºAsuntos!$E$35/Población!$K$30*1000</f>
        <v>5.9990745966070333</v>
      </c>
    </row>
    <row r="31" spans="2:17" ht="20.100000000000001" customHeight="1" thickBot="1" x14ac:dyDescent="0.25">
      <c r="B31" s="9" t="s">
        <v>50</v>
      </c>
      <c r="C31" s="14">
        <f>[711]NºAsuntos!$E$36/Población!$K$31*1000</f>
        <v>258.86241112242516</v>
      </c>
      <c r="D31" s="14">
        <f>[711]NºAsuntos!$E$17/Población!$K$31*1000</f>
        <v>46.599840428111101</v>
      </c>
      <c r="E31" s="14">
        <f>[711]NºAsuntos!$E$28/Población!$K$31*1000</f>
        <v>194.30852916154228</v>
      </c>
      <c r="F31" s="14">
        <f>[711]NºAsuntos!$E$31/Población!$K$31*1000</f>
        <v>6.3090404968768867</v>
      </c>
      <c r="G31" s="14">
        <f>[711]NºAsuntos!$E$35/Población!$K$31*1000</f>
        <v>11.645001035894859</v>
      </c>
    </row>
    <row r="32" spans="2:17" ht="20.100000000000001" customHeight="1" thickBot="1" x14ac:dyDescent="0.25">
      <c r="B32" s="9" t="s">
        <v>51</v>
      </c>
      <c r="C32" s="14">
        <f>[712]NºAsuntos!$E$36/Población!$K$32*1000</f>
        <v>176.13984911700541</v>
      </c>
      <c r="D32" s="14">
        <f>[712]NºAsuntos!$E$17/Población!$K$32*1000</f>
        <v>42.591742467022279</v>
      </c>
      <c r="E32" s="14">
        <f>[712]NºAsuntos!$E$28/Población!$K$32*1000</f>
        <v>118.35824351719067</v>
      </c>
      <c r="F32" s="14">
        <f>[712]NºAsuntos!$E$31/Población!$K$32*1000</f>
        <v>3.4694151151122687</v>
      </c>
      <c r="G32" s="14">
        <f>[712]NºAsuntos!$E$35/Población!$K$32*1000</f>
        <v>11.720448017680203</v>
      </c>
    </row>
    <row r="33" spans="2:7" ht="20.100000000000001" customHeight="1" thickBot="1" x14ac:dyDescent="0.25">
      <c r="B33" s="9" t="s">
        <v>52</v>
      </c>
      <c r="C33" s="14">
        <f>[713]NºAsuntos!$E$36/Población!$K$33*1000</f>
        <v>189.86838799149984</v>
      </c>
      <c r="D33" s="14">
        <f>[713]NºAsuntos!$E$17/Población!$K$33*1000</f>
        <v>39.029768037974065</v>
      </c>
      <c r="E33" s="14">
        <f>[713]NºAsuntos!$E$28/Población!$K$33*1000</f>
        <v>137.35213857340139</v>
      </c>
      <c r="F33" s="14">
        <f>[713]NºAsuntos!$E$31/Población!$K$33*1000</f>
        <v>6.334205292918039</v>
      </c>
      <c r="G33" s="14">
        <f>[713]NºAsuntos!$E$35/Población!$K$33*1000</f>
        <v>7.1522760872063467</v>
      </c>
    </row>
    <row r="34" spans="2:7" ht="20.100000000000001" customHeight="1" thickBot="1" x14ac:dyDescent="0.25">
      <c r="B34" s="9" t="s">
        <v>53</v>
      </c>
      <c r="C34" s="14">
        <f>[714]NºAsuntos!$E$36/Población!$K$34*1000</f>
        <v>140.02075224706556</v>
      </c>
      <c r="D34" s="14">
        <f>[714]NºAsuntos!$E$17/Población!$K$34*1000</f>
        <v>38.84698063561418</v>
      </c>
      <c r="E34" s="14">
        <f>[714]NºAsuntos!$E$28/Población!$K$34*1000</f>
        <v>94.212574810975042</v>
      </c>
      <c r="F34" s="14">
        <f>[714]NºAsuntos!$E$31/Población!$K$34*1000</f>
        <v>2.8370160545337528</v>
      </c>
      <c r="G34" s="14">
        <f>[714]NºAsuntos!$E$35/Población!$K$34*1000</f>
        <v>4.124180745942585</v>
      </c>
    </row>
    <row r="35" spans="2:7" ht="20.100000000000001" customHeight="1" thickBot="1" x14ac:dyDescent="0.25">
      <c r="B35" s="9" t="s">
        <v>54</v>
      </c>
      <c r="C35" s="14">
        <f>[715]NºAsuntos!$E$36/Población!$K$35*1000</f>
        <v>145.22785025575484</v>
      </c>
      <c r="D35" s="14">
        <f>[715]NºAsuntos!$E$17/Población!$K$35*1000</f>
        <v>36.286433496271918</v>
      </c>
      <c r="E35" s="14">
        <f>[715]NºAsuntos!$E$28/Población!$K$35*1000</f>
        <v>100.91791060374868</v>
      </c>
      <c r="F35" s="14">
        <f>[715]NºAsuntos!$E$31/Población!$K$35*1000</f>
        <v>3.1025020081160735</v>
      </c>
      <c r="G35" s="14">
        <f>[715]NºAsuntos!$E$35/Población!$K$35*1000</f>
        <v>4.9210041476181807</v>
      </c>
    </row>
    <row r="36" spans="2:7" ht="20.100000000000001" customHeight="1" thickBot="1" x14ac:dyDescent="0.25">
      <c r="B36" s="9" t="s">
        <v>55</v>
      </c>
      <c r="C36" s="14">
        <f>[716]NºAsuntos!$E$36/Población!$K$36*1000</f>
        <v>173.49535856880374</v>
      </c>
      <c r="D36" s="14">
        <f>[716]NºAsuntos!$E$17/Población!$K$36*1000</f>
        <v>43.225389818241439</v>
      </c>
      <c r="E36" s="14">
        <f>[716]NºAsuntos!$E$28/Población!$K$36*1000</f>
        <v>116.27469915168673</v>
      </c>
      <c r="F36" s="14">
        <f>[716]NºAsuntos!$E$31/Población!$K$36*1000</f>
        <v>3.2309079531118479</v>
      </c>
      <c r="G36" s="14">
        <f>[716]NºAsuntos!$E$35/Población!$K$36*1000</f>
        <v>10.764361645763733</v>
      </c>
    </row>
    <row r="37" spans="2:7" ht="20.100000000000001" customHeight="1" thickBot="1" x14ac:dyDescent="0.25">
      <c r="B37" s="9" t="s">
        <v>56</v>
      </c>
      <c r="C37" s="14">
        <f>[717]NºAsuntos!$E$36/Población!$K$37*1000</f>
        <v>147.40537394420741</v>
      </c>
      <c r="D37" s="14">
        <f>[717]NºAsuntos!$E$17/Población!$K$37*1000</f>
        <v>39.392578402482116</v>
      </c>
      <c r="E37" s="14">
        <f>[717]NºAsuntos!$E$28/Población!$K$37*1000</f>
        <v>101.66314544846266</v>
      </c>
      <c r="F37" s="14">
        <f>[717]NºAsuntos!$E$31/Población!$K$37*1000</f>
        <v>1.8835844015380316</v>
      </c>
      <c r="G37" s="14">
        <f>[717]NºAsuntos!$E$35/Población!$K$37*1000</f>
        <v>4.4660656917246033</v>
      </c>
    </row>
    <row r="38" spans="2:7" ht="20.100000000000001" customHeight="1" thickBot="1" x14ac:dyDescent="0.25">
      <c r="B38" s="9" t="s">
        <v>57</v>
      </c>
      <c r="C38" s="14">
        <f>[718]NºAsuntos!$E$36/Población!$K$38*1000</f>
        <v>135.69166232632779</v>
      </c>
      <c r="D38" s="14">
        <f>[718]NºAsuntos!$E$17/Población!$K$38*1000</f>
        <v>35.876068075282589</v>
      </c>
      <c r="E38" s="14">
        <f>[718]NºAsuntos!$E$28/Población!$K$38*1000</f>
        <v>88.7991103478371</v>
      </c>
      <c r="F38" s="14">
        <f>[718]NºAsuntos!$E$31/Población!$K$38*1000</f>
        <v>2.5873111952589425</v>
      </c>
      <c r="G38" s="14">
        <f>[718]NºAsuntos!$E$35/Población!$K$38*1000</f>
        <v>8.4291727079491547</v>
      </c>
    </row>
    <row r="39" spans="2:7" ht="20.100000000000001" customHeight="1" thickBot="1" x14ac:dyDescent="0.25">
      <c r="B39" s="9" t="s">
        <v>58</v>
      </c>
      <c r="C39" s="14">
        <f>[719]NºAsuntos!$E$36/Población!$K$39*1000</f>
        <v>219.75433588458435</v>
      </c>
      <c r="D39" s="14">
        <f>[719]NºAsuntos!$E$17/Población!$K$39*1000</f>
        <v>44.98466556399849</v>
      </c>
      <c r="E39" s="14">
        <f>[719]NºAsuntos!$E$28/Población!$K$39*1000</f>
        <v>157.9772573122745</v>
      </c>
      <c r="F39" s="14">
        <f>[719]NºAsuntos!$E$31/Población!$K$39*1000</f>
        <v>6.4785408706402388</v>
      </c>
      <c r="G39" s="14">
        <f>[719]NºAsuntos!$E$35/Población!$K$39*1000</f>
        <v>10.313872137671106</v>
      </c>
    </row>
    <row r="40" spans="2:7" ht="20.100000000000001" customHeight="1" thickBot="1" x14ac:dyDescent="0.25">
      <c r="B40" s="9" t="s">
        <v>59</v>
      </c>
      <c r="C40" s="14">
        <f>[720]NºAsuntos!$E$36/Población!$K$40*1000</f>
        <v>297.3614434537634</v>
      </c>
      <c r="D40" s="14">
        <f>[720]NºAsuntos!$E$17/Población!$K$40*1000</f>
        <v>54.232462142231213</v>
      </c>
      <c r="E40" s="14">
        <f>[720]NºAsuntos!$E$28/Población!$K$40*1000</f>
        <v>225.84848857675883</v>
      </c>
      <c r="F40" s="14">
        <f>[720]NºAsuntos!$E$31/Población!$K$40*1000</f>
        <v>5.3023474201980081</v>
      </c>
      <c r="G40" s="14">
        <f>[720]NºAsuntos!$E$35/Población!$K$40*1000</f>
        <v>11.978145314575398</v>
      </c>
    </row>
    <row r="41" spans="2:7" ht="20.100000000000001" customHeight="1" thickBot="1" x14ac:dyDescent="0.25">
      <c r="B41" s="9" t="s">
        <v>60</v>
      </c>
      <c r="C41" s="14">
        <f>[721]NºAsuntos!$E$36/Población!$K$41*1000</f>
        <v>202.63390758510081</v>
      </c>
      <c r="D41" s="14">
        <f>[721]NºAsuntos!$E$17/Población!$K$41*1000</f>
        <v>45.93438044410032</v>
      </c>
      <c r="E41" s="14">
        <f>[721]NºAsuntos!$E$28/Población!$K$41*1000</f>
        <v>139.05442026380555</v>
      </c>
      <c r="F41" s="14">
        <f>[721]NºAsuntos!$E$31/Población!$K$41*1000</f>
        <v>4.9657108093908136</v>
      </c>
      <c r="G41" s="14">
        <f>[721]NºAsuntos!$E$35/Población!$K$41*1000</f>
        <v>12.679396067804108</v>
      </c>
    </row>
    <row r="42" spans="2:7" ht="20.100000000000001" customHeight="1" thickBot="1" x14ac:dyDescent="0.25">
      <c r="B42" s="9" t="s">
        <v>61</v>
      </c>
      <c r="C42" s="14">
        <f>[722]NºAsuntos!$E$36/Población!$K$42*1000</f>
        <v>150.70934920025755</v>
      </c>
      <c r="D42" s="14">
        <f>[722]NºAsuntos!$E$17/Población!$K$42*1000</f>
        <v>34.067157433338934</v>
      </c>
      <c r="E42" s="14">
        <f>[722]NºAsuntos!$E$28/Población!$K$42*1000</f>
        <v>107.04306207955241</v>
      </c>
      <c r="F42" s="14">
        <f>[722]NºAsuntos!$E$31/Población!$K$42*1000</f>
        <v>3.4492164331771806</v>
      </c>
      <c r="G42" s="14">
        <f>[722]NºAsuntos!$E$35/Población!$K$42*1000</f>
        <v>6.1499132541890136</v>
      </c>
    </row>
    <row r="43" spans="2:7" ht="20.100000000000001" customHeight="1" thickBot="1" x14ac:dyDescent="0.25">
      <c r="B43" s="9" t="s">
        <v>62</v>
      </c>
      <c r="C43" s="14">
        <f>[723]NºAsuntos!$E$36/Población!$K$43*1000</f>
        <v>144.35320966982678</v>
      </c>
      <c r="D43" s="14">
        <f>[723]NºAsuntos!$E$17/Población!$K$43*1000</f>
        <v>34.015409275358863</v>
      </c>
      <c r="E43" s="14">
        <f>[723]NºAsuntos!$E$28/Población!$K$43*1000</f>
        <v>97.103461426162397</v>
      </c>
      <c r="F43" s="14">
        <f>[723]NºAsuntos!$E$31/Población!$K$43*1000</f>
        <v>2.8989220657724597</v>
      </c>
      <c r="G43" s="14">
        <f>[723]NºAsuntos!$E$35/Población!$K$43*1000</f>
        <v>10.335416902533055</v>
      </c>
    </row>
    <row r="44" spans="2:7" ht="20.100000000000001" customHeight="1" thickBot="1" x14ac:dyDescent="0.25">
      <c r="B44" s="9" t="s">
        <v>63</v>
      </c>
      <c r="C44" s="14">
        <f>[724]NºAsuntos!$E$36/Población!$K$44*1000</f>
        <v>164.97986220904065</v>
      </c>
      <c r="D44" s="14">
        <f>[724]NºAsuntos!$E$17/Población!$K$44*1000</f>
        <v>39.254267019029925</v>
      </c>
      <c r="E44" s="14">
        <f>[724]NºAsuntos!$E$28/Población!$K$44*1000</f>
        <v>112.95627387395704</v>
      </c>
      <c r="F44" s="14">
        <f>[724]NºAsuntos!$E$31/Población!$K$44*1000</f>
        <v>4.9911716847656749</v>
      </c>
      <c r="G44" s="14">
        <f>[724]NºAsuntos!$E$35/Población!$K$44*1000</f>
        <v>7.7781496312880103</v>
      </c>
    </row>
    <row r="45" spans="2:7" ht="20.100000000000001" customHeight="1" thickBot="1" x14ac:dyDescent="0.25">
      <c r="B45" s="9" t="s">
        <v>64</v>
      </c>
      <c r="C45" s="14">
        <f>[725]NºAsuntos!$E$36/Población!$K$45*1000</f>
        <v>220.45644585796794</v>
      </c>
      <c r="D45" s="14">
        <f>[725]NºAsuntos!$E$17/Población!$K$45*1000</f>
        <v>54.883147423816474</v>
      </c>
      <c r="E45" s="14">
        <f>[725]NºAsuntos!$E$28/Población!$K$45*1000</f>
        <v>148.31629290947319</v>
      </c>
      <c r="F45" s="14">
        <f>[725]NºAsuntos!$E$31/Población!$K$45*1000</f>
        <v>3.4222364148843285</v>
      </c>
      <c r="G45" s="14">
        <f>[725]NºAsuntos!$E$35/Población!$K$45*1000</f>
        <v>13.834769109793983</v>
      </c>
    </row>
    <row r="46" spans="2:7" ht="20.100000000000001" customHeight="1" thickBot="1" x14ac:dyDescent="0.25">
      <c r="B46" s="9" t="s">
        <v>65</v>
      </c>
      <c r="C46" s="14">
        <f>[726]NºAsuntos!$E$36/Población!$K$46*1000</f>
        <v>221.54925585873195</v>
      </c>
      <c r="D46" s="14">
        <f>[726]NºAsuntos!$E$17/Población!$K$46*1000</f>
        <v>45.689356966921039</v>
      </c>
      <c r="E46" s="14">
        <f>[726]NºAsuntos!$E$28/Población!$K$46*1000</f>
        <v>163.31827407571029</v>
      </c>
      <c r="F46" s="14">
        <f>[726]NºAsuntos!$E$31/Población!$K$46*1000</f>
        <v>2.7142089096902988</v>
      </c>
      <c r="G46" s="14">
        <f>[726]NºAsuntos!$E$35/Población!$K$46*1000</f>
        <v>9.8274159064103266</v>
      </c>
    </row>
    <row r="47" spans="2:7" ht="20.100000000000001" customHeight="1" thickBot="1" x14ac:dyDescent="0.25">
      <c r="B47" s="9" t="s">
        <v>30</v>
      </c>
      <c r="C47" s="14">
        <f>[727]NºAsuntos!$E$36/Población!$K$47*1000</f>
        <v>142.47657770234565</v>
      </c>
      <c r="D47" s="14">
        <f>[727]NºAsuntos!$E$17/Población!$K$47*1000</f>
        <v>44.301869431958771</v>
      </c>
      <c r="E47" s="14">
        <f>[727]NºAsuntos!$E$28/Población!$K$47*1000</f>
        <v>84.059160340936643</v>
      </c>
      <c r="F47" s="14">
        <f>[727]NºAsuntos!$E$31/Población!$K$47*1000</f>
        <v>2.7136915530522039</v>
      </c>
      <c r="G47" s="14">
        <f>[727]NºAsuntos!$E$35/Población!$K$47*1000</f>
        <v>11.401856376398033</v>
      </c>
    </row>
    <row r="48" spans="2:7" ht="20.100000000000001" customHeight="1" thickBot="1" x14ac:dyDescent="0.25">
      <c r="B48" s="9" t="s">
        <v>66</v>
      </c>
      <c r="C48" s="14">
        <f>[728]NºAsuntos!$E$36/Población!$K$48*1000</f>
        <v>172.13937643820782</v>
      </c>
      <c r="D48" s="14">
        <f>[728]NºAsuntos!$E$17/Población!$K$48*1000</f>
        <v>35.895975274105488</v>
      </c>
      <c r="E48" s="14">
        <f>[728]NºAsuntos!$E$28/Población!$K$48*1000</f>
        <v>126.92043044714163</v>
      </c>
      <c r="F48" s="14">
        <f>[728]NºAsuntos!$E$31/Población!$K$48*1000</f>
        <v>2.9469160312232097</v>
      </c>
      <c r="G48" s="14">
        <f>[728]NºAsuntos!$E$35/Población!$K$48*1000</f>
        <v>6.3760546857374898</v>
      </c>
    </row>
    <row r="49" spans="2:7" ht="20.100000000000001" customHeight="1" thickBot="1" x14ac:dyDescent="0.25">
      <c r="B49" s="9" t="s">
        <v>67</v>
      </c>
      <c r="C49" s="14">
        <f>[729]NºAsuntos!$E$36/Población!$K$49*1000</f>
        <v>190.50064184852374</v>
      </c>
      <c r="D49" s="14">
        <f>[729]NºAsuntos!$E$17/Población!$K$49*1000</f>
        <v>49.254769767464651</v>
      </c>
      <c r="E49" s="14">
        <f>[729]NºAsuntos!$E$28/Población!$K$49*1000</f>
        <v>130.66958029965997</v>
      </c>
      <c r="F49" s="14">
        <f>[729]NºAsuntos!$E$31/Población!$K$49*1000</f>
        <v>2.2440200295936266</v>
      </c>
      <c r="G49" s="14">
        <f>[729]NºAsuntos!$E$35/Población!$K$49*1000</f>
        <v>8.3322717518055054</v>
      </c>
    </row>
    <row r="50" spans="2:7" ht="20.100000000000001" customHeight="1" thickBot="1" x14ac:dyDescent="0.25">
      <c r="B50" s="9" t="s">
        <v>68</v>
      </c>
      <c r="C50" s="14">
        <f>[730]NºAsuntos!$E$36/Población!$K$50*1000</f>
        <v>147.55480607082629</v>
      </c>
      <c r="D50" s="14">
        <f>[730]NºAsuntos!$E$17/Población!$K$50*1000</f>
        <v>38.033654021133849</v>
      </c>
      <c r="E50" s="14">
        <f>[730]NºAsuntos!$E$28/Población!$K$50*1000</f>
        <v>101.38668154852172</v>
      </c>
      <c r="F50" s="14">
        <f>[730]NºAsuntos!$E$31/Población!$K$50*1000</f>
        <v>3.02692079051767</v>
      </c>
      <c r="G50" s="14">
        <f>[730]NºAsuntos!$E$35/Población!$K$50*1000</f>
        <v>5.1075497106530623</v>
      </c>
    </row>
    <row r="51" spans="2:7" ht="20.100000000000001" customHeight="1" thickBot="1" x14ac:dyDescent="0.25">
      <c r="B51" s="9" t="s">
        <v>69</v>
      </c>
      <c r="C51" s="14">
        <f>[731]NºAsuntos!$E$36/Población!$K$51*1000</f>
        <v>223.74783183456265</v>
      </c>
      <c r="D51" s="14">
        <f>[731]NºAsuntos!$E$17/Población!$K$51*1000</f>
        <v>41.284080192650976</v>
      </c>
      <c r="E51" s="14">
        <f>[731]NºAsuntos!$E$28/Población!$K$51*1000</f>
        <v>169.84523929810379</v>
      </c>
      <c r="F51" s="14">
        <f>[731]NºAsuntos!$E$31/Población!$K$51*1000</f>
        <v>5.2225421845003535</v>
      </c>
      <c r="G51" s="14">
        <f>[731]NºAsuntos!$E$35/Población!$K$51*1000</f>
        <v>7.3959701593075344</v>
      </c>
    </row>
    <row r="52" spans="2:7" ht="20.100000000000001" customHeight="1" thickBot="1" x14ac:dyDescent="0.25">
      <c r="B52" s="9" t="s">
        <v>70</v>
      </c>
      <c r="C52" s="14">
        <f>[732]NºAsuntos!$E$36/Población!$K$52*1000</f>
        <v>137.67468270575495</v>
      </c>
      <c r="D52" s="14">
        <f>[732]NºAsuntos!$E$17/Población!$K$52*1000</f>
        <v>37.128947119378346</v>
      </c>
      <c r="E52" s="14">
        <f>[732]NºAsuntos!$E$28/Población!$K$52*1000</f>
        <v>92.028474989747735</v>
      </c>
      <c r="F52" s="14">
        <f>[732]NºAsuntos!$E$31/Población!$K$52*1000</f>
        <v>3.1966015078705796</v>
      </c>
      <c r="G52" s="14">
        <f>[732]NºAsuntos!$E$35/Población!$K$52*1000</f>
        <v>5.3206590887582674</v>
      </c>
    </row>
    <row r="53" spans="2:7" ht="20.100000000000001" customHeight="1" thickBot="1" x14ac:dyDescent="0.25">
      <c r="B53" s="9" t="s">
        <v>71</v>
      </c>
      <c r="C53" s="14">
        <f>[733]NºAsuntos!$E$36/Población!$K$53*1000</f>
        <v>212.19816731212833</v>
      </c>
      <c r="D53" s="14">
        <f>[733]NºAsuntos!$E$17/Población!$K$53*1000</f>
        <v>46.785700503298266</v>
      </c>
      <c r="E53" s="14">
        <f>[733]NºAsuntos!$E$28/Población!$K$53*1000</f>
        <v>157.31463050587513</v>
      </c>
      <c r="F53" s="14">
        <f>[733]NºAsuntos!$E$31/Población!$K$53*1000</f>
        <v>1.7241357847183061</v>
      </c>
      <c r="G53" s="14">
        <f>[733]NºAsuntos!$E$35/Población!$K$53*1000</f>
        <v>6.3737005182366255</v>
      </c>
    </row>
    <row r="54" spans="2:7" ht="20.100000000000001" customHeight="1" thickBot="1" x14ac:dyDescent="0.25">
      <c r="B54" s="9" t="s">
        <v>72</v>
      </c>
      <c r="C54" s="14">
        <f>[734]NºAsuntos!$E$36/Población!$K$54*1000</f>
        <v>89.60075229470327</v>
      </c>
      <c r="D54" s="14">
        <f>[734]NºAsuntos!$E$17/Población!$K$54*1000</f>
        <v>21.403602019747737</v>
      </c>
      <c r="E54" s="14">
        <f>[734]NºAsuntos!$E$28/Población!$K$54*1000</f>
        <v>62.479983100626235</v>
      </c>
      <c r="F54" s="14">
        <f>[734]NºAsuntos!$E$31/Población!$K$54*1000</f>
        <v>1.6286090043679429</v>
      </c>
      <c r="G54" s="14">
        <f>[734]NºAsuntos!$E$35/Población!$K$54*1000</f>
        <v>4.0885581699613631</v>
      </c>
    </row>
    <row r="55" spans="2:7" ht="20.100000000000001" customHeight="1" thickBot="1" x14ac:dyDescent="0.25">
      <c r="B55" s="9" t="s">
        <v>73</v>
      </c>
      <c r="C55" s="14">
        <f>[735]NºAsuntos!$E$36/Población!$K$55*1000</f>
        <v>148.06383086705284</v>
      </c>
      <c r="D55" s="14">
        <f>[735]NºAsuntos!$E$17/Población!$K$55*1000</f>
        <v>36.330812676270781</v>
      </c>
      <c r="E55" s="14">
        <f>[735]NºAsuntos!$E$28/Población!$K$55*1000</f>
        <v>101.76397659631544</v>
      </c>
      <c r="F55" s="14">
        <f>[735]NºAsuntos!$E$31/Población!$K$55*1000</f>
        <v>2.6680780412827079</v>
      </c>
      <c r="G55" s="14">
        <f>[735]NºAsuntos!$E$35/Población!$K$55*1000</f>
        <v>7.300963553183931</v>
      </c>
    </row>
    <row r="56" spans="2:7" ht="20.100000000000001" customHeight="1" thickBot="1" x14ac:dyDescent="0.25">
      <c r="B56" s="9" t="s">
        <v>74</v>
      </c>
      <c r="C56" s="14">
        <f>[736]NºAsuntos!$E$36/Población!$K$56*1000</f>
        <v>215.13053310563717</v>
      </c>
      <c r="D56" s="14">
        <f>[736]NºAsuntos!$E$17/Población!$K$56*1000</f>
        <v>48.174586718294357</v>
      </c>
      <c r="E56" s="14">
        <f>[736]NºAsuntos!$E$28/Población!$K$56*1000</f>
        <v>151.7608010058392</v>
      </c>
      <c r="F56" s="14">
        <f>[736]NºAsuntos!$E$31/Población!$K$56*1000</f>
        <v>4.3341479760903514</v>
      </c>
      <c r="G56" s="14">
        <f>[736]NºAsuntos!$E$35/Población!$K$56*1000</f>
        <v>10.860997405413297</v>
      </c>
    </row>
    <row r="57" spans="2:7" ht="20.100000000000001" customHeight="1" thickBot="1" x14ac:dyDescent="0.25">
      <c r="B57" s="9" t="s">
        <v>75</v>
      </c>
      <c r="C57" s="14">
        <f>[737]NºAsuntos!$E$36/Población!$K$57*1000</f>
        <v>202.42970473642211</v>
      </c>
      <c r="D57" s="14">
        <f>[737]NºAsuntos!$E$17/Población!$K$57*1000</f>
        <v>46.774632680843069</v>
      </c>
      <c r="E57" s="14">
        <f>[737]NºAsuntos!$E$28/Población!$K$57*1000</f>
        <v>142.2334882410928</v>
      </c>
      <c r="F57" s="14">
        <f>[737]NºAsuntos!$E$31/Población!$K$57*1000</f>
        <v>4.7767920011266014</v>
      </c>
      <c r="G57" s="14">
        <f>[737]NºAsuntos!$E$35/Población!$K$57*1000</f>
        <v>8.6447918133596193</v>
      </c>
    </row>
    <row r="58" spans="2:7" ht="20.100000000000001" customHeight="1" thickBot="1" x14ac:dyDescent="0.25">
      <c r="B58" s="9" t="s">
        <v>76</v>
      </c>
      <c r="C58" s="14">
        <f>[738]NºAsuntos!$E$36/Población!$K$58*1000</f>
        <v>132.98239337643423</v>
      </c>
      <c r="D58" s="14">
        <f>[738]NºAsuntos!$E$17/Población!$K$58*1000</f>
        <v>37.124677382260494</v>
      </c>
      <c r="E58" s="14">
        <f>[738]NºAsuntos!$E$28/Población!$K$58*1000</f>
        <v>85.922367311476251</v>
      </c>
      <c r="F58" s="14">
        <f>[738]NºAsuntos!$E$31/Población!$K$58*1000</f>
        <v>3.8841898142232898</v>
      </c>
      <c r="G58" s="14">
        <f>[738]NºAsuntos!$E$35/Población!$K$58*1000</f>
        <v>6.0511588684741779</v>
      </c>
    </row>
    <row r="59" spans="2:7" ht="20.100000000000001" customHeight="1" thickBot="1" x14ac:dyDescent="0.25">
      <c r="B59" s="9" t="s">
        <v>77</v>
      </c>
      <c r="C59" s="14">
        <f>[739]NºAsuntos!$E$36/Población!$K$59*1000</f>
        <v>191.07957947590106</v>
      </c>
      <c r="D59" s="14">
        <f>[739]NºAsuntos!$E$17/Población!$K$59*1000</f>
        <v>43.424132213007553</v>
      </c>
      <c r="E59" s="14">
        <f>[739]NºAsuntos!$E$28/Población!$K$59*1000</f>
        <v>136.17873820097225</v>
      </c>
      <c r="F59" s="14">
        <f>[739]NºAsuntos!$E$31/Población!$K$59*1000</f>
        <v>2.8619630985053277</v>
      </c>
      <c r="G59" s="14">
        <f>[739]NºAsuntos!$E$35/Población!$K$59*1000</f>
        <v>8.6147459634159294</v>
      </c>
    </row>
    <row r="60" spans="2:7" ht="20.100000000000001" customHeight="1" thickBot="1" x14ac:dyDescent="0.25">
      <c r="B60" s="9" t="s">
        <v>78</v>
      </c>
      <c r="C60" s="14">
        <f>[740]NºAsuntos!$E$61/Población!$K$60*1000</f>
        <v>226.84749726720392</v>
      </c>
      <c r="D60" s="14">
        <f>[740]NºAsuntos!$E$21/Población!$K$60*1000</f>
        <v>29.196430841192772</v>
      </c>
      <c r="E60" s="14">
        <f>[740]NºAsuntos!$E$40/Población!$K$60*1000</f>
        <v>181.64832091923637</v>
      </c>
      <c r="F60" s="14">
        <f>[740]NºAsuntos!$E$47/Población!$K$60*1000</f>
        <v>7.0671378091872787</v>
      </c>
      <c r="G60" s="14">
        <f>[740]NºAsuntos!$E$54/Población!$K$60*1000</f>
        <v>8.9356076975875141</v>
      </c>
    </row>
    <row r="61" spans="2:7" ht="20.100000000000001" customHeight="1" thickBot="1" x14ac:dyDescent="0.25">
      <c r="B61" s="9" t="s">
        <v>79</v>
      </c>
      <c r="C61" s="14">
        <f>[741]NºAsuntos!$E$61/Población!$K$61*1000</f>
        <v>284.60386604955079</v>
      </c>
      <c r="D61" s="14">
        <f>[741]NºAsuntos!$E$21/Población!$K$61*1000</f>
        <v>37.680370269534443</v>
      </c>
      <c r="E61" s="14">
        <f>[741]NºAsuntos!$E$40/Población!$K$61*1000</f>
        <v>214.08930029948269</v>
      </c>
      <c r="F61" s="14">
        <f>[741]NºAsuntos!$E$47/Población!$K$61*1000</f>
        <v>26.599509937380887</v>
      </c>
      <c r="G61" s="14">
        <f>[741]NºAsuntos!$E$54/Población!$K$61*1000</f>
        <v>6.2346855431527368</v>
      </c>
    </row>
    <row r="62" spans="2:7" ht="20.100000000000001" customHeight="1" thickBot="1" x14ac:dyDescent="0.25">
      <c r="B62" s="12" t="s">
        <v>6</v>
      </c>
      <c r="C62" s="15">
        <f>[742]NºAsuntos!$E$60/Población!$S$62*1000</f>
        <v>205.43779271260331</v>
      </c>
      <c r="D62" s="15">
        <f>[742]NºAsuntos!$E$20/Población!$S$62*1000</f>
        <v>43.520790501925056</v>
      </c>
      <c r="E62" s="15">
        <f>[742]NºAsuntos!$E$39/Población!$S$62*1000</f>
        <v>144.69683286133434</v>
      </c>
      <c r="F62" s="15">
        <f>[742]NºAsuntos!$E$46/Población!$S$62*1000</f>
        <v>6.8095658579684528</v>
      </c>
      <c r="G62" s="15">
        <f>[742]NºAsuntos!$E$53/Población!$S$62*1000</f>
        <v>10.403560652967315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5"/>
  <dimension ref="B8:Q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6.85546875" style="1" customWidth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17" ht="13.5" thickBot="1" x14ac:dyDescent="0.25"/>
    <row r="9" spans="2:1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17" ht="20.100000000000001" customHeight="1" thickBot="1" x14ac:dyDescent="0.25">
      <c r="B10" s="9" t="s">
        <v>31</v>
      </c>
      <c r="C10" s="14">
        <f>[743]NºAsuntos!$E$36/Población!$J$10*1000</f>
        <v>137.12442734840613</v>
      </c>
      <c r="D10" s="14">
        <f>[743]NºAsuntos!$E$17/Población!$J$10*1000</f>
        <v>29.998012543617122</v>
      </c>
      <c r="E10" s="14">
        <f>[743]NºAsuntos!$E$28/Población!$J$10*1000</f>
        <v>97.923737021784035</v>
      </c>
      <c r="F10" s="14">
        <f>[743]NºAsuntos!$E$31/Población!$J$10*1000</f>
        <v>2.782438936031578</v>
      </c>
      <c r="G10" s="14">
        <f>[743]NºAsuntos!$E$35/Población!$J$10*1000</f>
        <v>6.4202388469734055</v>
      </c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17" ht="20.100000000000001" customHeight="1" thickBot="1" x14ac:dyDescent="0.25">
      <c r="B11" s="9" t="s">
        <v>32</v>
      </c>
      <c r="C11" s="14">
        <f>[744]NºAsuntos!$E$36/Población!$J$11*1000</f>
        <v>207.86295577477284</v>
      </c>
      <c r="D11" s="14">
        <f>[744]NºAsuntos!$E$17/Población!$J$11*1000</f>
        <v>39.203225838855033</v>
      </c>
      <c r="E11" s="14">
        <f>[744]NºAsuntos!$E$28/Población!$J$11*1000</f>
        <v>159.99348657160513</v>
      </c>
      <c r="F11" s="14">
        <f>[744]NºAsuntos!$E$31/Población!$J$11*1000</f>
        <v>2.3537161699560714</v>
      </c>
      <c r="G11" s="14">
        <f>[744]NºAsuntos!$E$35/Población!$J$11*1000</f>
        <v>6.3125271943565799</v>
      </c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17" ht="20.100000000000001" customHeight="1" thickBot="1" x14ac:dyDescent="0.25">
      <c r="B12" s="9" t="s">
        <v>33</v>
      </c>
      <c r="C12" s="14">
        <f>[745]NºAsuntos!$E$36/Población!$J$12*1000</f>
        <v>227.41468017704284</v>
      </c>
      <c r="D12" s="14">
        <f>[745]NºAsuntos!$E$17/Población!$J$12*1000</f>
        <v>40.931047653283606</v>
      </c>
      <c r="E12" s="14">
        <f>[745]NºAsuntos!$E$28/Población!$J$12*1000</f>
        <v>174.64033491353808</v>
      </c>
      <c r="F12" s="14">
        <f>[745]NºAsuntos!$E$31/Población!$J$12*1000</f>
        <v>3.5738090423659634</v>
      </c>
      <c r="G12" s="14">
        <f>[745]NºAsuntos!$E$35/Población!$J$12*1000</f>
        <v>8.2694885678551895</v>
      </c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17" ht="20.100000000000001" customHeight="1" thickBot="1" x14ac:dyDescent="0.25">
      <c r="B13" s="9" t="s">
        <v>34</v>
      </c>
      <c r="C13" s="14">
        <f>[746]NºAsuntos!$E$36/Población!$J$13*1000</f>
        <v>148.11310090913497</v>
      </c>
      <c r="D13" s="14">
        <f>[746]NºAsuntos!$E$17/Población!$J$13*1000</f>
        <v>34.598801815040289</v>
      </c>
      <c r="E13" s="14">
        <f>[746]NºAsuntos!$E$28/Población!$J$13*1000</f>
        <v>94.798714615595784</v>
      </c>
      <c r="F13" s="14">
        <f>[746]NºAsuntos!$E$31/Población!$J$13*1000</f>
        <v>8.7328628869475349</v>
      </c>
      <c r="G13" s="14">
        <f>[746]NºAsuntos!$E$35/Población!$J$13*1000</f>
        <v>9.9827215915513428</v>
      </c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2:17" ht="20.100000000000001" customHeight="1" thickBot="1" x14ac:dyDescent="0.25">
      <c r="B14" s="9" t="s">
        <v>35</v>
      </c>
      <c r="C14" s="14">
        <f>[747]NºAsuntos!$E$36/Población!$J$14*1000</f>
        <v>147.56355206464357</v>
      </c>
      <c r="D14" s="14">
        <f>[747]NºAsuntos!$E$17/Población!$J$14*1000</f>
        <v>37.330415187688985</v>
      </c>
      <c r="E14" s="14">
        <f>[747]NºAsuntos!$E$28/Población!$J$14*1000</f>
        <v>96.113644737987187</v>
      </c>
      <c r="F14" s="14">
        <f>[747]NºAsuntos!$E$31/Población!$J$14*1000</f>
        <v>3.3143913092586317</v>
      </c>
      <c r="G14" s="14">
        <f>[747]NºAsuntos!$E$35/Población!$J$14*1000</f>
        <v>10.805100829708795</v>
      </c>
      <c r="H14" s="3"/>
      <c r="I14" s="3"/>
      <c r="J14" s="3"/>
      <c r="K14" s="3"/>
      <c r="L14" s="3"/>
      <c r="M14" s="3"/>
      <c r="N14" s="3"/>
      <c r="O14" s="3"/>
      <c r="P14" s="3"/>
      <c r="Q14" s="3"/>
    </row>
    <row r="15" spans="2:17" ht="20.100000000000001" customHeight="1" thickBot="1" x14ac:dyDescent="0.25">
      <c r="B15" s="9" t="s">
        <v>36</v>
      </c>
      <c r="C15" s="14">
        <f>[748]NºAsuntos!$E$36/Población!$J$15*1000</f>
        <v>126.5838256264005</v>
      </c>
      <c r="D15" s="14">
        <f>[748]NºAsuntos!$E$17/Población!$J$15*1000</f>
        <v>30.014841544684689</v>
      </c>
      <c r="E15" s="14">
        <f>[748]NºAsuntos!$E$28/Población!$J$15*1000</f>
        <v>91.802229141809505</v>
      </c>
      <c r="F15" s="14">
        <f>[748]NºAsuntos!$E$31/Población!$J$15*1000</f>
        <v>2.4677705671798154</v>
      </c>
      <c r="G15" s="14">
        <f>[748]NºAsuntos!$E$35/Población!$J$15*1000</f>
        <v>2.2989843727264789</v>
      </c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2:17" ht="20.100000000000001" customHeight="1" thickBot="1" x14ac:dyDescent="0.25">
      <c r="B16" s="9" t="s">
        <v>37</v>
      </c>
      <c r="C16" s="14">
        <f>[749]NºAsuntos!$E$36/Población!$J$16*1000</f>
        <v>140.55390326977465</v>
      </c>
      <c r="D16" s="14">
        <f>[749]NºAsuntos!$E$17/Población!$J$16*1000</f>
        <v>28.41899113602998</v>
      </c>
      <c r="E16" s="14">
        <f>[749]NºAsuntos!$E$28/Población!$J$16*1000</f>
        <v>105.27898010349568</v>
      </c>
      <c r="F16" s="14">
        <f>[749]NºAsuntos!$E$31/Población!$J$16*1000</f>
        <v>2.699760378024826</v>
      </c>
      <c r="G16" s="14">
        <f>[749]NºAsuntos!$E$35/Población!$J$16*1000</f>
        <v>4.156171652224165</v>
      </c>
      <c r="H16" s="3"/>
      <c r="I16" s="3"/>
      <c r="J16" s="3"/>
      <c r="K16" s="3"/>
      <c r="L16" s="3"/>
      <c r="M16" s="3"/>
      <c r="N16" s="3"/>
      <c r="O16" s="3"/>
      <c r="P16" s="3"/>
      <c r="Q16" s="3"/>
    </row>
    <row r="17" spans="2:17" ht="20.100000000000001" customHeight="1" thickBot="1" x14ac:dyDescent="0.25">
      <c r="B17" s="9" t="s">
        <v>29</v>
      </c>
      <c r="C17" s="14">
        <f>[750]NºAsuntos!$E$36/Población!$J$17*1000</f>
        <v>197.96447572992903</v>
      </c>
      <c r="D17" s="14">
        <f>[750]NºAsuntos!$E$17/Población!$J$17*1000</f>
        <v>39.719661013157555</v>
      </c>
      <c r="E17" s="14">
        <f>[750]NºAsuntos!$E$28/Población!$J$17*1000</f>
        <v>149.98639131131833</v>
      </c>
      <c r="F17" s="14">
        <f>[750]NºAsuntos!$E$31/Población!$J$17*1000</f>
        <v>1.9080127213276115</v>
      </c>
      <c r="G17" s="14">
        <f>[750]NºAsuntos!$E$35/Población!$J$17*1000</f>
        <v>6.3504106841255581</v>
      </c>
      <c r="H17" s="3"/>
      <c r="I17" s="3"/>
      <c r="J17" s="3"/>
      <c r="K17" s="3"/>
      <c r="L17" s="3"/>
      <c r="M17" s="3"/>
      <c r="N17" s="3"/>
      <c r="O17" s="3"/>
      <c r="P17" s="3"/>
      <c r="Q17" s="3"/>
    </row>
    <row r="18" spans="2:17" ht="20.100000000000001" customHeight="1" thickBot="1" x14ac:dyDescent="0.25">
      <c r="B18" s="9" t="s">
        <v>38</v>
      </c>
      <c r="C18" s="14">
        <f>[751]NºAsuntos!$E$36/Población!$J$18*1000</f>
        <v>178.27295273082152</v>
      </c>
      <c r="D18" s="14">
        <f>[751]NºAsuntos!$E$17/Población!$J$18*1000</f>
        <v>39.18048122690022</v>
      </c>
      <c r="E18" s="14">
        <f>[751]NºAsuntos!$E$28/Población!$J$18*1000</f>
        <v>128.82799370140611</v>
      </c>
      <c r="F18" s="14">
        <f>[751]NºAsuntos!$E$31/Población!$J$18*1000</f>
        <v>2.0445136821240939</v>
      </c>
      <c r="G18" s="14">
        <f>[751]NºAsuntos!$E$35/Población!$J$18*1000</f>
        <v>8.2199641203910971</v>
      </c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7" ht="20.100000000000001" customHeight="1" thickBot="1" x14ac:dyDescent="0.25">
      <c r="B19" s="9" t="s">
        <v>39</v>
      </c>
      <c r="C19" s="14">
        <f>[752]NºAsuntos!$E$36/Población!$J$19*1000</f>
        <v>135.79740775858085</v>
      </c>
      <c r="D19" s="14">
        <f>[752]NºAsuntos!$E$17/Población!$J$19*1000</f>
        <v>30.147738047366545</v>
      </c>
      <c r="E19" s="14">
        <f>[752]NºAsuntos!$E$28/Población!$J$19*1000</f>
        <v>91.789142034209064</v>
      </c>
      <c r="F19" s="14">
        <f>[752]NºAsuntos!$E$31/Población!$J$19*1000</f>
        <v>6.4583604103553576</v>
      </c>
      <c r="G19" s="14">
        <f>[752]NºAsuntos!$E$35/Población!$J$19*1000</f>
        <v>7.4021672666498608</v>
      </c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2:17" ht="20.100000000000001" customHeight="1" thickBot="1" x14ac:dyDescent="0.25">
      <c r="B20" s="9" t="s">
        <v>40</v>
      </c>
      <c r="C20" s="14">
        <f>[753]NºAsuntos!$E$36/Población!$J$20*1000</f>
        <v>155.6900169132287</v>
      </c>
      <c r="D20" s="14">
        <f>[753]NºAsuntos!$E$17/Población!$J$20*1000</f>
        <v>33.984349911152023</v>
      </c>
      <c r="E20" s="14">
        <f>[753]NºAsuntos!$E$28/Población!$J$20*1000</f>
        <v>110.96630199747372</v>
      </c>
      <c r="F20" s="14">
        <f>[753]NºAsuntos!$E$31/Población!$J$20*1000</f>
        <v>3.4468731936029458</v>
      </c>
      <c r="G20" s="14">
        <f>[753]NºAsuntos!$E$35/Población!$J$20*1000</f>
        <v>7.292491811000021</v>
      </c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2:17" ht="20.100000000000001" customHeight="1" thickBot="1" x14ac:dyDescent="0.25">
      <c r="B21" s="9" t="s">
        <v>41</v>
      </c>
      <c r="C21" s="14">
        <f>[754]NºAsuntos!$E$36/Población!$J$21*1000</f>
        <v>118.26966433776649</v>
      </c>
      <c r="D21" s="14">
        <f>[754]NºAsuntos!$E$17/Población!$J$21*1000</f>
        <v>25.028000135758234</v>
      </c>
      <c r="E21" s="14">
        <f>[754]NºAsuntos!$E$28/Población!$J$21*1000</f>
        <v>86.553146924348724</v>
      </c>
      <c r="F21" s="14">
        <f>[754]NºAsuntos!$E$31/Población!$J$21*1000</f>
        <v>2.041222018046148</v>
      </c>
      <c r="G21" s="14">
        <f>[754]NºAsuntos!$E$35/Población!$J$21*1000</f>
        <v>4.6472952596133803</v>
      </c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2:17" ht="20.100000000000001" customHeight="1" thickBot="1" x14ac:dyDescent="0.25">
      <c r="B22" s="9" t="s">
        <v>42</v>
      </c>
      <c r="C22" s="14">
        <f>[755]NºAsuntos!$E$36/Población!$J$22*1000</f>
        <v>198.33555516044268</v>
      </c>
      <c r="D22" s="14">
        <f>[755]NºAsuntos!$E$17/Población!$J$22*1000</f>
        <v>36.117322303675557</v>
      </c>
      <c r="E22" s="14">
        <f>[755]NºAsuntos!$E$28/Población!$J$22*1000</f>
        <v>149.67877050342204</v>
      </c>
      <c r="F22" s="14">
        <f>[755]NºAsuntos!$E$31/Población!$J$22*1000</f>
        <v>5.6576703835499034</v>
      </c>
      <c r="G22" s="14">
        <f>[755]NºAsuntos!$E$35/Población!$J$22*1000</f>
        <v>6.8817919697951684</v>
      </c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2:17" ht="20.100000000000001" customHeight="1" thickBot="1" x14ac:dyDescent="0.25">
      <c r="B23" s="9" t="s">
        <v>5</v>
      </c>
      <c r="C23" s="14">
        <f>[756]NºAsuntos!$E$36/Población!$J$23*1000</f>
        <v>173.43825690815578</v>
      </c>
      <c r="D23" s="14">
        <f>[756]NºAsuntos!$E$17/Población!$J$23*1000</f>
        <v>42.64452758624244</v>
      </c>
      <c r="E23" s="14">
        <f>[756]NºAsuntos!$E$28/Población!$J$23*1000</f>
        <v>118.36712257231103</v>
      </c>
      <c r="F23" s="14">
        <f>[756]NºAsuntos!$E$31/Población!$J$23*1000</f>
        <v>3.3050582507927673</v>
      </c>
      <c r="G23" s="14">
        <f>[756]NºAsuntos!$E$35/Población!$J$23*1000</f>
        <v>9.1215484988095596</v>
      </c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2:17" ht="20.100000000000001" customHeight="1" thickBot="1" x14ac:dyDescent="0.25">
      <c r="B24" s="9" t="s">
        <v>43</v>
      </c>
      <c r="C24" s="14">
        <f>[757]NºAsuntos!$E$36/Población!$J$24*1000</f>
        <v>180.56865266466639</v>
      </c>
      <c r="D24" s="14">
        <f>[757]NºAsuntos!$E$17/Población!$J$24*1000</f>
        <v>40.04269517494096</v>
      </c>
      <c r="E24" s="14">
        <f>[757]NºAsuntos!$E$28/Población!$J$24*1000</f>
        <v>130.30601010228352</v>
      </c>
      <c r="F24" s="14">
        <f>[757]NºAsuntos!$E$31/Población!$J$24*1000</f>
        <v>2.6306279048267398</v>
      </c>
      <c r="G24" s="14">
        <f>[757]NºAsuntos!$E$35/Población!$J$24*1000</f>
        <v>7.5893194826151635</v>
      </c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2:17" ht="20.100000000000001" customHeight="1" thickBot="1" x14ac:dyDescent="0.25">
      <c r="B25" s="9" t="s">
        <v>44</v>
      </c>
      <c r="C25" s="14">
        <f>[758]NºAsuntos!$E$36/Población!$J$25*1000</f>
        <v>136.78559873493089</v>
      </c>
      <c r="D25" s="14">
        <f>[758]NºAsuntos!$E$17/Población!$J$25*1000</f>
        <v>29.438510710395278</v>
      </c>
      <c r="E25" s="14">
        <f>[758]NºAsuntos!$E$28/Población!$J$25*1000</f>
        <v>100.34019791592881</v>
      </c>
      <c r="F25" s="14">
        <f>[758]NºAsuntos!$E$31/Población!$J$25*1000</f>
        <v>1.6062242626013941</v>
      </c>
      <c r="G25" s="14">
        <f>[758]NºAsuntos!$E$35/Población!$J$25*1000</f>
        <v>5.4006658460054027</v>
      </c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2:17" ht="20.100000000000001" customHeight="1" thickBot="1" x14ac:dyDescent="0.25">
      <c r="B26" s="9" t="s">
        <v>45</v>
      </c>
      <c r="C26" s="14">
        <f>[759]NºAsuntos!$E$36/Población!$J$26*1000</f>
        <v>183.47641902701727</v>
      </c>
      <c r="D26" s="14">
        <f>[759]NºAsuntos!$E$17/Población!$J$26*1000</f>
        <v>32.497853088673068</v>
      </c>
      <c r="E26" s="14">
        <f>[759]NºAsuntos!$E$28/Población!$J$26*1000</f>
        <v>140.99386346395067</v>
      </c>
      <c r="F26" s="14">
        <f>[759]NºAsuntos!$E$31/Población!$J$26*1000</f>
        <v>2.9167949806089468</v>
      </c>
      <c r="G26" s="14">
        <f>[759]NºAsuntos!$E$35/Población!$J$26*1000</f>
        <v>7.0679074937845972</v>
      </c>
      <c r="H26" s="3"/>
      <c r="I26" s="3"/>
      <c r="J26" s="3"/>
      <c r="K26" s="3"/>
      <c r="L26" s="3"/>
      <c r="M26" s="3"/>
      <c r="N26" s="3"/>
      <c r="O26" s="3"/>
      <c r="P26" s="3"/>
      <c r="Q26" s="3"/>
    </row>
    <row r="27" spans="2:17" ht="20.100000000000001" customHeight="1" thickBot="1" x14ac:dyDescent="0.25">
      <c r="B27" s="9" t="s">
        <v>46</v>
      </c>
      <c r="C27" s="14">
        <f>[760]NºAsuntos!$E$36/Población!$J$27*1000</f>
        <v>162.07584620071088</v>
      </c>
      <c r="D27" s="14">
        <f>[760]NºAsuntos!$E$17/Población!$J$27*1000</f>
        <v>34.752234398277267</v>
      </c>
      <c r="E27" s="14">
        <f>[760]NºAsuntos!$E$28/Población!$J$27*1000</f>
        <v>116.39413196666553</v>
      </c>
      <c r="F27" s="14">
        <f>[760]NºAsuntos!$E$31/Población!$J$27*1000</f>
        <v>3.199835662761024</v>
      </c>
      <c r="G27" s="14">
        <f>[760]NºAsuntos!$E$35/Población!$J$27*1000</f>
        <v>7.729644173007082</v>
      </c>
      <c r="H27" s="3"/>
      <c r="I27" s="3"/>
      <c r="J27" s="3"/>
      <c r="K27" s="3"/>
      <c r="L27" s="3"/>
      <c r="M27" s="3"/>
      <c r="N27" s="3"/>
      <c r="O27" s="3"/>
      <c r="P27" s="3"/>
      <c r="Q27" s="3"/>
    </row>
    <row r="28" spans="2:17" ht="20.100000000000001" customHeight="1" thickBot="1" x14ac:dyDescent="0.25">
      <c r="B28" s="9" t="s">
        <v>47</v>
      </c>
      <c r="C28" s="14">
        <f>[761]NºAsuntos!$E$36/Población!$J$28*1000</f>
        <v>141.53125783884724</v>
      </c>
      <c r="D28" s="14">
        <f>[761]NºAsuntos!$E$17/Población!$J$28*1000</f>
        <v>23.486347631390693</v>
      </c>
      <c r="E28" s="14">
        <f>[761]NºAsuntos!$E$28/Población!$J$28*1000</f>
        <v>110.21303083512176</v>
      </c>
      <c r="F28" s="14">
        <f>[761]NºAsuntos!$E$31/Población!$J$28*1000</f>
        <v>2.8103718981391159</v>
      </c>
      <c r="G28" s="14">
        <f>[761]NºAsuntos!$E$35/Población!$J$28*1000</f>
        <v>5.0215074741956762</v>
      </c>
    </row>
    <row r="29" spans="2:17" ht="20.100000000000001" customHeight="1" thickBot="1" x14ac:dyDescent="0.25">
      <c r="B29" s="9" t="s">
        <v>48</v>
      </c>
      <c r="C29" s="14">
        <f>[762]NºAsuntos!$E$36/Población!$J$10*1000</f>
        <v>199.33935943526049</v>
      </c>
      <c r="D29" s="14">
        <f>[762]NºAsuntos!$E$17/Población!$J$10*1000</f>
        <v>42.010802705959605</v>
      </c>
      <c r="E29" s="14">
        <f>[762]NºAsuntos!$E$28/Población!$J$10*1000</f>
        <v>141.74840814806802</v>
      </c>
      <c r="F29" s="14">
        <f>[762]NºAsuntos!$E$31/Población!$J$10*1000</f>
        <v>4.7497691783251534</v>
      </c>
      <c r="G29" s="14">
        <f>[762]NºAsuntos!$E$35/Población!$J$10*1000</f>
        <v>10.830379402907724</v>
      </c>
    </row>
    <row r="30" spans="2:17" ht="20.100000000000001" customHeight="1" thickBot="1" x14ac:dyDescent="0.25">
      <c r="B30" s="9" t="s">
        <v>49</v>
      </c>
      <c r="C30" s="14">
        <f>[763]NºAsuntos!$E$36/Población!$J$30*1000</f>
        <v>166.5241083042751</v>
      </c>
      <c r="D30" s="14">
        <f>[763]NºAsuntos!$E$17/Población!$J$30*1000</f>
        <v>36.367412524731371</v>
      </c>
      <c r="E30" s="14">
        <f>[763]NºAsuntos!$E$28/Población!$J$30*1000</f>
        <v>122.27545008362209</v>
      </c>
      <c r="F30" s="14">
        <f>[763]NºAsuntos!$E$31/Población!$J$30*1000</f>
        <v>2.6261709825869288</v>
      </c>
      <c r="G30" s="14">
        <f>[763]NºAsuntos!$E$35/Población!$J$30*1000</f>
        <v>5.255074713334718</v>
      </c>
    </row>
    <row r="31" spans="2:17" ht="20.100000000000001" customHeight="1" thickBot="1" x14ac:dyDescent="0.25">
      <c r="B31" s="9" t="s">
        <v>50</v>
      </c>
      <c r="C31" s="14">
        <f>[764]NºAsuntos!$E$36/Población!$J$31*1000</f>
        <v>258.26768158718181</v>
      </c>
      <c r="D31" s="14">
        <f>[764]NºAsuntos!$E$17/Población!$J$31*1000</f>
        <v>40.390803577372893</v>
      </c>
      <c r="E31" s="14">
        <f>[764]NºAsuntos!$E$28/Población!$J$31*1000</f>
        <v>202.53545194292184</v>
      </c>
      <c r="F31" s="14">
        <f>[764]NºAsuntos!$E$31/Población!$J$31*1000</f>
        <v>4.4872506158318721</v>
      </c>
      <c r="G31" s="14">
        <f>[764]NºAsuntos!$E$35/Población!$J$31*1000</f>
        <v>10.854175451055236</v>
      </c>
    </row>
    <row r="32" spans="2:17" ht="20.100000000000001" customHeight="1" thickBot="1" x14ac:dyDescent="0.25">
      <c r="B32" s="9" t="s">
        <v>51</v>
      </c>
      <c r="C32" s="14">
        <f>[765]NºAsuntos!$E$36/Población!$J$32*1000</f>
        <v>163.67589481342546</v>
      </c>
      <c r="D32" s="14">
        <f>[765]NºAsuntos!$E$17/Población!$J$32*1000</f>
        <v>31.666996093142185</v>
      </c>
      <c r="E32" s="14">
        <f>[765]NºAsuntos!$E$28/Población!$J$32*1000</f>
        <v>118.4337242994781</v>
      </c>
      <c r="F32" s="14">
        <f>[765]NºAsuntos!$E$31/Población!$J$32*1000</f>
        <v>3.5956549348786937</v>
      </c>
      <c r="G32" s="14">
        <f>[765]NºAsuntos!$E$35/Población!$J$32*1000</f>
        <v>9.9795194859264811</v>
      </c>
    </row>
    <row r="33" spans="2:7" ht="20.100000000000001" customHeight="1" thickBot="1" x14ac:dyDescent="0.25">
      <c r="B33" s="9" t="s">
        <v>52</v>
      </c>
      <c r="C33" s="14">
        <f>[766]NºAsuntos!$E$36/Población!$J$33*1000</f>
        <v>175.68490790781922</v>
      </c>
      <c r="D33" s="14">
        <f>[766]NºAsuntos!$E$17/Población!$J$33*1000</f>
        <v>34.535306104367855</v>
      </c>
      <c r="E33" s="14">
        <f>[766]NºAsuntos!$E$28/Población!$J$33*1000</f>
        <v>130.4726184499375</v>
      </c>
      <c r="F33" s="14">
        <f>[766]NºAsuntos!$E$31/Población!$J$33*1000</f>
        <v>4.8197040843448216</v>
      </c>
      <c r="G33" s="14">
        <f>[766]NºAsuntos!$E$35/Población!$J$33*1000</f>
        <v>5.8572792691690543</v>
      </c>
    </row>
    <row r="34" spans="2:7" ht="20.100000000000001" customHeight="1" thickBot="1" x14ac:dyDescent="0.25">
      <c r="B34" s="9" t="s">
        <v>53</v>
      </c>
      <c r="C34" s="14">
        <f>[767]NºAsuntos!$E$36/Población!$J$34*1000</f>
        <v>127.84601657559116</v>
      </c>
      <c r="D34" s="14">
        <f>[767]NºAsuntos!$E$17/Población!$J$34*1000</f>
        <v>29.959471037106422</v>
      </c>
      <c r="E34" s="14">
        <f>[767]NºAsuntos!$E$28/Población!$J$34*1000</f>
        <v>91.898202609301691</v>
      </c>
      <c r="F34" s="14">
        <f>[767]NºAsuntos!$E$31/Población!$J$34*1000</f>
        <v>2.6812150698492041</v>
      </c>
      <c r="G34" s="14">
        <f>[767]NºAsuntos!$E$35/Población!$J$34*1000</f>
        <v>3.3071278593338689</v>
      </c>
    </row>
    <row r="35" spans="2:7" ht="20.100000000000001" customHeight="1" thickBot="1" x14ac:dyDescent="0.25">
      <c r="B35" s="9" t="s">
        <v>54</v>
      </c>
      <c r="C35" s="14">
        <f>[768]NºAsuntos!$E$36/Población!$J$35*1000</f>
        <v>136.44113760379241</v>
      </c>
      <c r="D35" s="14">
        <f>[768]NºAsuntos!$E$17/Población!$J$35*1000</f>
        <v>30.919725877160126</v>
      </c>
      <c r="E35" s="14">
        <f>[768]NºAsuntos!$E$28/Población!$J$35*1000</f>
        <v>98.245829575181517</v>
      </c>
      <c r="F35" s="14">
        <f>[768]NºAsuntos!$E$31/Población!$J$35*1000</f>
        <v>2.8497028937519291</v>
      </c>
      <c r="G35" s="14">
        <f>[768]NºAsuntos!$E$35/Población!$J$35*1000</f>
        <v>4.4258792576988419</v>
      </c>
    </row>
    <row r="36" spans="2:7" ht="20.100000000000001" customHeight="1" thickBot="1" x14ac:dyDescent="0.25">
      <c r="B36" s="9" t="s">
        <v>55</v>
      </c>
      <c r="C36" s="14">
        <f>[769]NºAsuntos!$E$36/Población!$J$36*1000</f>
        <v>159.76209516193524</v>
      </c>
      <c r="D36" s="14">
        <f>[769]NºAsuntos!$E$17/Población!$J$36*1000</f>
        <v>36.697321071571373</v>
      </c>
      <c r="E36" s="14">
        <f>[769]NºAsuntos!$E$28/Población!$J$36*1000</f>
        <v>110.10195921631347</v>
      </c>
      <c r="F36" s="14">
        <f>[769]NºAsuntos!$E$31/Población!$J$36*1000</f>
        <v>2.9968012794882046</v>
      </c>
      <c r="G36" s="14">
        <f>[769]NºAsuntos!$E$35/Población!$J$36*1000</f>
        <v>9.9660135945621739</v>
      </c>
    </row>
    <row r="37" spans="2:7" ht="20.100000000000001" customHeight="1" thickBot="1" x14ac:dyDescent="0.25">
      <c r="B37" s="9" t="s">
        <v>56</v>
      </c>
      <c r="C37" s="14">
        <f>[770]NºAsuntos!$E$36/Población!$J$37*1000</f>
        <v>143.61916452707135</v>
      </c>
      <c r="D37" s="14">
        <f>[770]NºAsuntos!$E$17/Población!$J$37*1000</f>
        <v>33.989111490095389</v>
      </c>
      <c r="E37" s="14">
        <f>[770]NºAsuntos!$E$28/Población!$J$37*1000</f>
        <v>104.3849210067655</v>
      </c>
      <c r="F37" s="14">
        <f>[770]NºAsuntos!$E$31/Población!$J$37*1000</f>
        <v>1.6866882812646413</v>
      </c>
      <c r="G37" s="14">
        <f>[770]NºAsuntos!$E$35/Población!$J$37*1000</f>
        <v>3.5584437489458201</v>
      </c>
    </row>
    <row r="38" spans="2:7" ht="20.100000000000001" customHeight="1" thickBot="1" x14ac:dyDescent="0.25">
      <c r="B38" s="9" t="s">
        <v>57</v>
      </c>
      <c r="C38" s="14">
        <f>[771]NºAsuntos!$E$36/Población!$J$38*1000</f>
        <v>140.43071419129291</v>
      </c>
      <c r="D38" s="14">
        <f>[771]NºAsuntos!$E$17/Población!$J$38*1000</f>
        <v>32.544037530691973</v>
      </c>
      <c r="E38" s="14">
        <f>[771]NºAsuntos!$E$28/Población!$J$38*1000</f>
        <v>96.178023282304267</v>
      </c>
      <c r="F38" s="14">
        <f>[771]NºAsuntos!$E$31/Población!$J$38*1000</f>
        <v>3.0544313160773902</v>
      </c>
      <c r="G38" s="14">
        <f>[771]NºAsuntos!$E$35/Población!$J$38*1000</f>
        <v>8.6542220622192723</v>
      </c>
    </row>
    <row r="39" spans="2:7" ht="20.100000000000001" customHeight="1" thickBot="1" x14ac:dyDescent="0.25">
      <c r="B39" s="9" t="s">
        <v>58</v>
      </c>
      <c r="C39" s="14">
        <f>[772]NºAsuntos!$E$36/Población!$J$39*1000</f>
        <v>219.74323135359532</v>
      </c>
      <c r="D39" s="14">
        <f>[772]NºAsuntos!$E$17/Población!$J$39*1000</f>
        <v>38.502700570409203</v>
      </c>
      <c r="E39" s="14">
        <f>[772]NºAsuntos!$E$28/Población!$J$39*1000</f>
        <v>165.15956437536732</v>
      </c>
      <c r="F39" s="14">
        <f>[772]NºAsuntos!$E$31/Población!$J$39*1000</f>
        <v>7.0930433165944846</v>
      </c>
      <c r="G39" s="14">
        <f>[772]NºAsuntos!$E$35/Población!$J$39*1000</f>
        <v>8.9879230912243333</v>
      </c>
    </row>
    <row r="40" spans="2:7" ht="20.100000000000001" customHeight="1" thickBot="1" x14ac:dyDescent="0.25">
      <c r="B40" s="9" t="s">
        <v>59</v>
      </c>
      <c r="C40" s="14">
        <f>[773]NºAsuntos!$E$36/Población!$J$40*1000</f>
        <v>297.26450029777493</v>
      </c>
      <c r="D40" s="14">
        <f>[773]NºAsuntos!$E$17/Población!$J$40*1000</f>
        <v>47.393237597560486</v>
      </c>
      <c r="E40" s="14">
        <f>[773]NºAsuntos!$E$28/Población!$J$40*1000</f>
        <v>235.09637865973755</v>
      </c>
      <c r="F40" s="14">
        <f>[773]NºAsuntos!$E$31/Población!$J$40*1000</f>
        <v>4.5449864098189616</v>
      </c>
      <c r="G40" s="14">
        <f>[773]NºAsuntos!$E$35/Población!$J$40*1000</f>
        <v>10.229897630657964</v>
      </c>
    </row>
    <row r="41" spans="2:7" ht="20.100000000000001" customHeight="1" thickBot="1" x14ac:dyDescent="0.25">
      <c r="B41" s="9" t="s">
        <v>60</v>
      </c>
      <c r="C41" s="14">
        <f>[774]NºAsuntos!$E$36/Población!$J$41*1000</f>
        <v>190.9917124146892</v>
      </c>
      <c r="D41" s="14">
        <f>[774]NºAsuntos!$E$17/Población!$J$41*1000</f>
        <v>37.31131351109908</v>
      </c>
      <c r="E41" s="14">
        <f>[774]NºAsuntos!$E$28/Población!$J$41*1000</f>
        <v>139.14364189553532</v>
      </c>
      <c r="F41" s="14">
        <f>[774]NºAsuntos!$E$31/Población!$J$41*1000</f>
        <v>5.5816210401869704</v>
      </c>
      <c r="G41" s="14">
        <f>[774]NºAsuntos!$E$35/Población!$J$41*1000</f>
        <v>8.9551359678678129</v>
      </c>
    </row>
    <row r="42" spans="2:7" ht="20.100000000000001" customHeight="1" thickBot="1" x14ac:dyDescent="0.25">
      <c r="B42" s="9" t="s">
        <v>61</v>
      </c>
      <c r="C42" s="14">
        <f>[775]NºAsuntos!$E$36/Población!$J$42*1000</f>
        <v>141.06422385098094</v>
      </c>
      <c r="D42" s="14">
        <f>[775]NºAsuntos!$E$17/Población!$J$42*1000</f>
        <v>27.845971078876232</v>
      </c>
      <c r="E42" s="14">
        <f>[775]NºAsuntos!$E$28/Población!$J$42*1000</f>
        <v>105.72442240766502</v>
      </c>
      <c r="F42" s="14">
        <f>[775]NºAsuntos!$E$31/Población!$J$42*1000</f>
        <v>2.8853422999240785</v>
      </c>
      <c r="G42" s="14">
        <f>[775]NºAsuntos!$E$35/Población!$J$42*1000</f>
        <v>4.6084880645156092</v>
      </c>
    </row>
    <row r="43" spans="2:7" ht="20.100000000000001" customHeight="1" thickBot="1" x14ac:dyDescent="0.25">
      <c r="B43" s="9" t="s">
        <v>62</v>
      </c>
      <c r="C43" s="14">
        <f>[776]NºAsuntos!$E$36/Población!$J$43*1000</f>
        <v>135.39760606249945</v>
      </c>
      <c r="D43" s="14">
        <f>[776]NºAsuntos!$E$17/Población!$J$43*1000</f>
        <v>30.330349093570643</v>
      </c>
      <c r="E43" s="14">
        <f>[776]NºAsuntos!$E$28/Población!$J$43*1000</f>
        <v>92.83574184987161</v>
      </c>
      <c r="F43" s="14">
        <f>[776]NºAsuntos!$E$31/Población!$J$43*1000</f>
        <v>2.6599305561754125</v>
      </c>
      <c r="G43" s="14">
        <f>[776]NºAsuntos!$E$35/Población!$J$43*1000</f>
        <v>9.5715845628817693</v>
      </c>
    </row>
    <row r="44" spans="2:7" ht="20.100000000000001" customHeight="1" thickBot="1" x14ac:dyDescent="0.25">
      <c r="B44" s="9" t="s">
        <v>63</v>
      </c>
      <c r="C44" s="14">
        <f>[777]NºAsuntos!$E$36/Población!$J$44*1000</f>
        <v>159.63886678888929</v>
      </c>
      <c r="D44" s="14">
        <f>[777]NºAsuntos!$E$17/Población!$J$44*1000</f>
        <v>34.043608103589428</v>
      </c>
      <c r="E44" s="14">
        <f>[777]NºAsuntos!$E$28/Población!$J$44*1000</f>
        <v>115.160215388518</v>
      </c>
      <c r="F44" s="14">
        <f>[777]NºAsuntos!$E$31/Población!$J$44*1000</f>
        <v>3.3726521152582243</v>
      </c>
      <c r="G44" s="14">
        <f>[777]NºAsuntos!$E$35/Población!$J$44*1000</f>
        <v>7.0623911815236315</v>
      </c>
    </row>
    <row r="45" spans="2:7" ht="20.100000000000001" customHeight="1" thickBot="1" x14ac:dyDescent="0.25">
      <c r="B45" s="9" t="s">
        <v>64</v>
      </c>
      <c r="C45" s="14">
        <f>[778]NºAsuntos!$E$36/Población!$J$45*1000</f>
        <v>217.42994602030595</v>
      </c>
      <c r="D45" s="14">
        <f>[778]NºAsuntos!$E$17/Población!$J$45*1000</f>
        <v>48.320984792978152</v>
      </c>
      <c r="E45" s="14">
        <f>[778]NºAsuntos!$E$28/Población!$J$45*1000</f>
        <v>150.85623607518281</v>
      </c>
      <c r="F45" s="14">
        <f>[778]NºAsuntos!$E$31/Población!$J$45*1000</f>
        <v>2.8868295527610388</v>
      </c>
      <c r="G45" s="14">
        <f>[778]NºAsuntos!$E$35/Población!$J$45*1000</f>
        <v>15.365895599383945</v>
      </c>
    </row>
    <row r="46" spans="2:7" ht="20.100000000000001" customHeight="1" thickBot="1" x14ac:dyDescent="0.25">
      <c r="B46" s="9" t="s">
        <v>65</v>
      </c>
      <c r="C46" s="14">
        <f>[779]NºAsuntos!$E$36/Población!$J$46*1000</f>
        <v>183.98468638556744</v>
      </c>
      <c r="D46" s="14">
        <f>[779]NºAsuntos!$E$17/Población!$J$46*1000</f>
        <v>40</v>
      </c>
      <c r="E46" s="14">
        <f>[779]NºAsuntos!$E$28/Población!$J$46*1000</f>
        <v>132.65470946087689</v>
      </c>
      <c r="F46" s="14">
        <f>[779]NºAsuntos!$E$31/Población!$J$46*1000</f>
        <v>2.5351374029788127</v>
      </c>
      <c r="G46" s="14">
        <f>[779]NºAsuntos!$E$35/Población!$J$46*1000</f>
        <v>8.7948395217117685</v>
      </c>
    </row>
    <row r="47" spans="2:7" ht="20.100000000000001" customHeight="1" thickBot="1" x14ac:dyDescent="0.25">
      <c r="B47" s="9" t="s">
        <v>30</v>
      </c>
      <c r="C47" s="14">
        <f>[780]NºAsuntos!$E$36/Población!$J$47*1000</f>
        <v>135.84524143231044</v>
      </c>
      <c r="D47" s="14">
        <f>[780]NºAsuntos!$E$17/Población!$J$47*1000</f>
        <v>37.278622744495294</v>
      </c>
      <c r="E47" s="14">
        <f>[780]NºAsuntos!$E$28/Población!$J$47*1000</f>
        <v>86.900513699169451</v>
      </c>
      <c r="F47" s="14">
        <f>[780]NºAsuntos!$E$31/Población!$J$47*1000</f>
        <v>3.303926601805979</v>
      </c>
      <c r="G47" s="14">
        <f>[780]NºAsuntos!$E$35/Población!$J$47*1000</f>
        <v>8.3621783868397266</v>
      </c>
    </row>
    <row r="48" spans="2:7" ht="20.100000000000001" customHeight="1" thickBot="1" x14ac:dyDescent="0.25">
      <c r="B48" s="9" t="s">
        <v>66</v>
      </c>
      <c r="C48" s="14">
        <f>[781]NºAsuntos!$E$36/Población!$J$48*1000</f>
        <v>166.07055947301106</v>
      </c>
      <c r="D48" s="14">
        <f>[781]NºAsuntos!$E$17/Población!$J$48*1000</f>
        <v>31.536145601068469</v>
      </c>
      <c r="E48" s="14">
        <f>[781]NºAsuntos!$E$28/Población!$J$48*1000</f>
        <v>125.74560559586196</v>
      </c>
      <c r="F48" s="14">
        <f>[781]NºAsuntos!$E$31/Población!$J$48*1000</f>
        <v>3.0390148385417257</v>
      </c>
      <c r="G48" s="14">
        <f>[781]NºAsuntos!$E$35/Población!$J$48*1000</f>
        <v>5.7497934375389077</v>
      </c>
    </row>
    <row r="49" spans="2:7" ht="20.100000000000001" customHeight="1" thickBot="1" x14ac:dyDescent="0.25">
      <c r="B49" s="9" t="s">
        <v>67</v>
      </c>
      <c r="C49" s="14">
        <f>[782]NºAsuntos!$E$36/Población!$J$49*1000</f>
        <v>189.55877908733757</v>
      </c>
      <c r="D49" s="14">
        <f>[782]NºAsuntos!$E$17/Población!$J$49*1000</f>
        <v>41.655731577356811</v>
      </c>
      <c r="E49" s="14">
        <f>[782]NºAsuntos!$E$28/Población!$J$49*1000</f>
        <v>137.50477167533521</v>
      </c>
      <c r="F49" s="14">
        <f>[782]NºAsuntos!$E$31/Población!$J$49*1000</f>
        <v>2.3172448346614498</v>
      </c>
      <c r="G49" s="14">
        <f>[782]NºAsuntos!$E$35/Población!$J$49*1000</f>
        <v>8.0810309999840957</v>
      </c>
    </row>
    <row r="50" spans="2:7" ht="20.100000000000001" customHeight="1" thickBot="1" x14ac:dyDescent="0.25">
      <c r="B50" s="9" t="s">
        <v>68</v>
      </c>
      <c r="C50" s="14">
        <f>[783]NºAsuntos!$E$36/Población!$J$50*1000</f>
        <v>140.28151483535592</v>
      </c>
      <c r="D50" s="14">
        <f>[783]NºAsuntos!$E$17/Población!$J$50*1000</f>
        <v>36.437074051702574</v>
      </c>
      <c r="E50" s="14">
        <f>[783]NºAsuntos!$E$28/Población!$J$50*1000</f>
        <v>95.650370044966721</v>
      </c>
      <c r="F50" s="14">
        <f>[783]NºAsuntos!$E$31/Población!$J$50*1000</f>
        <v>3.0750645214430836</v>
      </c>
      <c r="G50" s="14">
        <f>[783]NºAsuntos!$E$35/Población!$J$50*1000</f>
        <v>5.1190062172435464</v>
      </c>
    </row>
    <row r="51" spans="2:7" ht="20.100000000000001" customHeight="1" thickBot="1" x14ac:dyDescent="0.25">
      <c r="B51" s="9" t="s">
        <v>69</v>
      </c>
      <c r="C51" s="14">
        <f>[784]NºAsuntos!$E$36/Población!$J$51*1000</f>
        <v>220.68535646150121</v>
      </c>
      <c r="D51" s="14">
        <f>[784]NºAsuntos!$E$17/Población!$J$51*1000</f>
        <v>35.53364450999274</v>
      </c>
      <c r="E51" s="14">
        <f>[784]NºAsuntos!$E$28/Población!$J$51*1000</f>
        <v>173.87342425493023</v>
      </c>
      <c r="F51" s="14">
        <f>[784]NºAsuntos!$E$31/Población!$J$51*1000</f>
        <v>4.4740975823557081</v>
      </c>
      <c r="G51" s="14">
        <f>[784]NºAsuntos!$E$35/Población!$J$51*1000</f>
        <v>6.8041901142225223</v>
      </c>
    </row>
    <row r="52" spans="2:7" ht="20.100000000000001" customHeight="1" thickBot="1" x14ac:dyDescent="0.25">
      <c r="B52" s="9" t="s">
        <v>70</v>
      </c>
      <c r="C52" s="14">
        <f>[785]NºAsuntos!$E$36/Población!$J$52*1000</f>
        <v>128.59497495932209</v>
      </c>
      <c r="D52" s="14">
        <f>[785]NºAsuntos!$E$17/Población!$J$52*1000</f>
        <v>32.732497939691058</v>
      </c>
      <c r="E52" s="14">
        <f>[785]NºAsuntos!$E$28/Población!$J$52*1000</f>
        <v>87.145785347505438</v>
      </c>
      <c r="F52" s="14">
        <f>[785]NºAsuntos!$E$31/Población!$J$52*1000</f>
        <v>4.1734463157449868</v>
      </c>
      <c r="G52" s="14">
        <f>[785]NºAsuntos!$E$35/Población!$J$52*1000</f>
        <v>4.5432453563806181</v>
      </c>
    </row>
    <row r="53" spans="2:7" ht="20.100000000000001" customHeight="1" thickBot="1" x14ac:dyDescent="0.25">
      <c r="B53" s="9" t="s">
        <v>71</v>
      </c>
      <c r="C53" s="14">
        <f>[786]NºAsuntos!$E$36/Población!$J$53*1000</f>
        <v>206.45079509947459</v>
      </c>
      <c r="D53" s="14">
        <f>[786]NºAsuntos!$E$17/Población!$J$53*1000</f>
        <v>39.248569201224498</v>
      </c>
      <c r="E53" s="14">
        <f>[786]NºAsuntos!$E$28/Población!$J$53*1000</f>
        <v>159.20116111776599</v>
      </c>
      <c r="F53" s="14">
        <f>[786]NºAsuntos!$E$31/Población!$J$53*1000</f>
        <v>1.6136494717294443</v>
      </c>
      <c r="G53" s="14">
        <f>[786]NºAsuntos!$E$35/Población!$J$53*1000</f>
        <v>6.387415308754651</v>
      </c>
    </row>
    <row r="54" spans="2:7" ht="20.100000000000001" customHeight="1" thickBot="1" x14ac:dyDescent="0.25">
      <c r="B54" s="9" t="s">
        <v>72</v>
      </c>
      <c r="C54" s="14">
        <f>[787]NºAsuntos!$E$36/Población!$J$54*1000</f>
        <v>88.420218146032099</v>
      </c>
      <c r="D54" s="14">
        <f>[787]NºAsuntos!$E$17/Población!$J$54*1000</f>
        <v>18.725567917771521</v>
      </c>
      <c r="E54" s="14">
        <f>[787]NºAsuntos!$E$28/Población!$J$54*1000</f>
        <v>65.102102184193981</v>
      </c>
      <c r="F54" s="14">
        <f>[787]NºAsuntos!$E$31/Población!$J$54*1000</f>
        <v>1.7358738142751702</v>
      </c>
      <c r="G54" s="14">
        <f>[787]NºAsuntos!$E$35/Población!$J$54*1000</f>
        <v>2.8566742297914214</v>
      </c>
    </row>
    <row r="55" spans="2:7" ht="20.100000000000001" customHeight="1" thickBot="1" x14ac:dyDescent="0.25">
      <c r="B55" s="9" t="s">
        <v>73</v>
      </c>
      <c r="C55" s="14">
        <f>[788]NºAsuntos!$E$36/Población!$J$55*1000</f>
        <v>132.44643787031691</v>
      </c>
      <c r="D55" s="14">
        <f>[788]NºAsuntos!$E$17/Población!$J$55*1000</f>
        <v>28.516732989855313</v>
      </c>
      <c r="E55" s="14">
        <f>[788]NºAsuntos!$E$28/Población!$J$55*1000</f>
        <v>95.914223004074884</v>
      </c>
      <c r="F55" s="14">
        <f>[788]NºAsuntos!$E$31/Población!$J$55*1000</f>
        <v>2.8827086718501707</v>
      </c>
      <c r="G55" s="14">
        <f>[788]NºAsuntos!$E$35/Población!$J$55*1000</f>
        <v>5.1327732045365364</v>
      </c>
    </row>
    <row r="56" spans="2:7" ht="20.100000000000001" customHeight="1" thickBot="1" x14ac:dyDescent="0.25">
      <c r="B56" s="9" t="s">
        <v>74</v>
      </c>
      <c r="C56" s="14">
        <f>[789]NºAsuntos!$E$36/Población!$J$56*1000</f>
        <v>210.04329569453395</v>
      </c>
      <c r="D56" s="14">
        <f>[789]NºAsuntos!$E$17/Población!$J$56*1000</f>
        <v>40.38598479322777</v>
      </c>
      <c r="E56" s="14">
        <f>[789]NºAsuntos!$E$28/Población!$J$56*1000</f>
        <v>157.87652528754026</v>
      </c>
      <c r="F56" s="14">
        <f>[789]NºAsuntos!$E$31/Población!$J$56*1000</f>
        <v>3.4873264446610559</v>
      </c>
      <c r="G56" s="14">
        <f>[789]NºAsuntos!$E$35/Población!$J$56*1000</f>
        <v>8.2934591691048603</v>
      </c>
    </row>
    <row r="57" spans="2:7" ht="20.100000000000001" customHeight="1" thickBot="1" x14ac:dyDescent="0.25">
      <c r="B57" s="9" t="s">
        <v>75</v>
      </c>
      <c r="C57" s="14">
        <f>[790]NºAsuntos!$E$36/Población!$J$57*1000</f>
        <v>155.33468552169205</v>
      </c>
      <c r="D57" s="14">
        <f>[790]NºAsuntos!$E$17/Población!$J$57*1000</f>
        <v>36.393777917239262</v>
      </c>
      <c r="E57" s="14">
        <f>[790]NºAsuntos!$E$28/Población!$J$57*1000</f>
        <v>106.59730557881663</v>
      </c>
      <c r="F57" s="14">
        <f>[790]NºAsuntos!$E$31/Población!$J$57*1000</f>
        <v>4.2153495432111132</v>
      </c>
      <c r="G57" s="14">
        <f>[790]NºAsuntos!$E$35/Población!$J$57*1000</f>
        <v>8.1282524824250171</v>
      </c>
    </row>
    <row r="58" spans="2:7" ht="20.100000000000001" customHeight="1" thickBot="1" x14ac:dyDescent="0.25">
      <c r="B58" s="9" t="s">
        <v>76</v>
      </c>
      <c r="C58" s="14">
        <f>[791]NºAsuntos!$E$36/Población!$J$58*1000</f>
        <v>113.57309819948181</v>
      </c>
      <c r="D58" s="14">
        <f>[791]NºAsuntos!$E$17/Población!$J$58*1000</f>
        <v>30.204694226274079</v>
      </c>
      <c r="E58" s="14">
        <f>[791]NºAsuntos!$E$28/Población!$J$58*1000</f>
        <v>75.864132115748333</v>
      </c>
      <c r="F58" s="14">
        <f>[791]NºAsuntos!$E$31/Población!$J$58*1000</f>
        <v>2.6924110515614461</v>
      </c>
      <c r="G58" s="14">
        <f>[791]NºAsuntos!$E$35/Población!$J$58*1000</f>
        <v>4.8118608058979522</v>
      </c>
    </row>
    <row r="59" spans="2:7" ht="20.100000000000001" customHeight="1" thickBot="1" x14ac:dyDescent="0.25">
      <c r="B59" s="9" t="s">
        <v>77</v>
      </c>
      <c r="C59" s="14">
        <f>[792]NºAsuntos!$E$36/Población!$J$59*1000</f>
        <v>184.16179658607612</v>
      </c>
      <c r="D59" s="14">
        <f>[792]NºAsuntos!$E$17/Población!$J$59*1000</f>
        <v>35.307430052453469</v>
      </c>
      <c r="E59" s="14">
        <f>[792]NºAsuntos!$E$28/Población!$J$59*1000</f>
        <v>139.39997257472081</v>
      </c>
      <c r="F59" s="14">
        <f>[792]NºAsuntos!$E$31/Población!$J$59*1000</f>
        <v>2.5467826065110963</v>
      </c>
      <c r="G59" s="14">
        <f>[792]NºAsuntos!$E$35/Población!$J$59*1000</f>
        <v>6.9076113523907621</v>
      </c>
    </row>
    <row r="60" spans="2:7" ht="20.100000000000001" customHeight="1" thickBot="1" x14ac:dyDescent="0.25">
      <c r="B60" s="9" t="s">
        <v>78</v>
      </c>
      <c r="C60" s="14">
        <f>[793]NºAsuntos!$E$61/Población!$J$60*1000</f>
        <v>243.63927689981779</v>
      </c>
      <c r="D60" s="14">
        <f>[793]NºAsuntos!$E$21/Población!$J$60*1000</f>
        <v>27.484526224657248</v>
      </c>
      <c r="E60" s="14">
        <f>[793]NºAsuntos!$E$40/Población!$J$60*1000</f>
        <v>199.58908888860174</v>
      </c>
      <c r="F60" s="14">
        <f>[793]NºAsuntos!$E$47/Población!$J$60*1000</f>
        <v>8.1019266303996691</v>
      </c>
      <c r="G60" s="14">
        <f>[793]NºAsuntos!$E$54/Población!$J$60*1000</f>
        <v>8.4637351561591441</v>
      </c>
    </row>
    <row r="61" spans="2:7" ht="20.100000000000001" customHeight="1" thickBot="1" x14ac:dyDescent="0.25">
      <c r="B61" s="9" t="s">
        <v>79</v>
      </c>
      <c r="C61" s="14">
        <f>[794]NºAsuntos!$E$61/Población!$J$61*1000</f>
        <v>287.76172880976372</v>
      </c>
      <c r="D61" s="14">
        <f>[794]NºAsuntos!$E$21/Población!$J$61*1000</f>
        <v>35.102452133019817</v>
      </c>
      <c r="E61" s="14">
        <f>[794]NºAsuntos!$E$40/Población!$J$61*1000</f>
        <v>217.52883215765311</v>
      </c>
      <c r="F61" s="14">
        <f>[794]NºAsuntos!$E$47/Población!$J$61*1000</f>
        <v>25.738998992274102</v>
      </c>
      <c r="G61" s="14">
        <f>[794]NºAsuntos!$E$54/Población!$J$61*1000</f>
        <v>9.3914455268167067</v>
      </c>
    </row>
    <row r="62" spans="2:7" ht="20.100000000000001" customHeight="1" thickBot="1" x14ac:dyDescent="0.25">
      <c r="B62" s="12" t="s">
        <v>6</v>
      </c>
      <c r="C62" s="15">
        <f>[795]NºAsuntos!$E$60/Población!$S$62*1000</f>
        <v>194.22552955059047</v>
      </c>
      <c r="D62" s="15">
        <f>[795]NºAsuntos!$E$20/Población!$S$62*1000</f>
        <v>36.684856944062602</v>
      </c>
      <c r="E62" s="15">
        <f>[795]NºAsuntos!$E$39/Población!$S$62*1000</f>
        <v>141.90284438771238</v>
      </c>
      <c r="F62" s="15">
        <f>[795]NºAsuntos!$E$46/Población!$S$62*1000</f>
        <v>6.5954893368420411</v>
      </c>
      <c r="G62" s="15">
        <f>[795]NºAsuntos!$E$53/Población!$S$62*1000</f>
        <v>9.0332776691434269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6"/>
  <dimension ref="B8:G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7" ht="13.5" thickBot="1" x14ac:dyDescent="0.25"/>
    <row r="9" spans="2: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7" ht="20.100000000000001" customHeight="1" thickBot="1" x14ac:dyDescent="0.25">
      <c r="B10" s="9" t="s">
        <v>31</v>
      </c>
      <c r="C10" s="14">
        <f>[796]NºAsuntos!$E$36/Población!$I$10*1000</f>
        <v>131.49116319400167</v>
      </c>
      <c r="D10" s="14">
        <f>[796]NºAsuntos!$E$17/Población!$I$10*1000</f>
        <v>24.9394302619163</v>
      </c>
      <c r="E10" s="14">
        <f>[796]NºAsuntos!$E$28/Población!$I$10*1000</f>
        <v>97.638417790926013</v>
      </c>
      <c r="F10" s="14">
        <f>[796]NºAsuntos!$E$31/Población!$I$10*1000</f>
        <v>2.5834587233174364</v>
      </c>
      <c r="G10" s="14">
        <f>[796]NºAsuntos!$E$35/Población!$I$10*1000</f>
        <v>6.3298564178419321</v>
      </c>
    </row>
    <row r="11" spans="2:7" ht="20.100000000000001" customHeight="1" thickBot="1" x14ac:dyDescent="0.25">
      <c r="B11" s="9" t="s">
        <v>32</v>
      </c>
      <c r="C11" s="14">
        <f>[797]NºAsuntos!$E$36/Población!$I$11*1000</f>
        <v>207.61435058161447</v>
      </c>
      <c r="D11" s="14">
        <f>[797]NºAsuntos!$E$17/Población!$I$11*1000</f>
        <v>32.712528160309958</v>
      </c>
      <c r="E11" s="14">
        <f>[797]NºAsuntos!$E$28/Población!$I$11*1000</f>
        <v>167.99925928523214</v>
      </c>
      <c r="F11" s="14">
        <f>[797]NºAsuntos!$E$31/Población!$I$11*1000</f>
        <v>1.9969713970143494</v>
      </c>
      <c r="G11" s="14">
        <f>[797]NºAsuntos!$E$35/Población!$I$11*1000</f>
        <v>4.9055917390580213</v>
      </c>
    </row>
    <row r="12" spans="2:7" ht="20.100000000000001" customHeight="1" thickBot="1" x14ac:dyDescent="0.25">
      <c r="B12" s="9" t="s">
        <v>33</v>
      </c>
      <c r="C12" s="14">
        <f>[798]NºAsuntos!$E$36/Población!$I$12*1000</f>
        <v>193.50234213224505</v>
      </c>
      <c r="D12" s="14">
        <f>[798]NºAsuntos!$E$17/Población!$I$12*1000</f>
        <v>30.929445295863342</v>
      </c>
      <c r="E12" s="14">
        <f>[798]NºAsuntos!$E$28/Población!$I$12*1000</f>
        <v>154.78176956635369</v>
      </c>
      <c r="F12" s="14">
        <f>[798]NºAsuntos!$E$31/Población!$I$12*1000</f>
        <v>2.2856860073643008</v>
      </c>
      <c r="G12" s="14">
        <f>[798]NºAsuntos!$E$35/Población!$I$12*1000</f>
        <v>5.5054412626636742</v>
      </c>
    </row>
    <row r="13" spans="2:7" ht="20.100000000000001" customHeight="1" thickBot="1" x14ac:dyDescent="0.25">
      <c r="B13" s="9" t="s">
        <v>34</v>
      </c>
      <c r="C13" s="14">
        <f>[799]NºAsuntos!$E$36/Población!$I$13*1000</f>
        <v>130.42666937297639</v>
      </c>
      <c r="D13" s="14">
        <f>[799]NºAsuntos!$E$17/Población!$I$13*1000</f>
        <v>31.375732913418823</v>
      </c>
      <c r="E13" s="14">
        <f>[799]NºAsuntos!$E$28/Población!$I$13*1000</f>
        <v>85.242209265400589</v>
      </c>
      <c r="F13" s="14">
        <f>[799]NºAsuntos!$E$31/Población!$I$13*1000</f>
        <v>5.6832504525975658</v>
      </c>
      <c r="G13" s="14">
        <f>[799]NºAsuntos!$E$35/Población!$I$13*1000</f>
        <v>8.1254767415594245</v>
      </c>
    </row>
    <row r="14" spans="2:7" ht="20.100000000000001" customHeight="1" thickBot="1" x14ac:dyDescent="0.25">
      <c r="B14" s="9" t="s">
        <v>35</v>
      </c>
      <c r="C14" s="14">
        <f>[800]NºAsuntos!$E$36/Población!$I$14*1000</f>
        <v>143.3123507947997</v>
      </c>
      <c r="D14" s="14">
        <f>[800]NºAsuntos!$E$17/Población!$I$14*1000</f>
        <v>36.753555340127384</v>
      </c>
      <c r="E14" s="14">
        <f>[800]NºAsuntos!$E$28/Población!$I$14*1000</f>
        <v>93.970202686484399</v>
      </c>
      <c r="F14" s="14">
        <f>[800]NºAsuntos!$E$31/Población!$I$14*1000</f>
        <v>3.5734819911765419</v>
      </c>
      <c r="G14" s="14">
        <f>[800]NºAsuntos!$E$35/Población!$I$14*1000</f>
        <v>9.0151107770113743</v>
      </c>
    </row>
    <row r="15" spans="2:7" ht="20.100000000000001" customHeight="1" thickBot="1" x14ac:dyDescent="0.25">
      <c r="B15" s="9" t="s">
        <v>36</v>
      </c>
      <c r="C15" s="14">
        <f>[801]NºAsuntos!$E$36/Población!$I$15*1000</f>
        <v>123.8570191771724</v>
      </c>
      <c r="D15" s="14">
        <f>[801]NºAsuntos!$E$17/Población!$I$15*1000</f>
        <v>25.118893725020456</v>
      </c>
      <c r="E15" s="14">
        <f>[801]NºAsuntos!$E$28/Población!$I$15*1000</f>
        <v>93.466478492392</v>
      </c>
      <c r="F15" s="14">
        <f>[801]NºAsuntos!$E$31/Población!$I$15*1000</f>
        <v>3.10131761524686</v>
      </c>
      <c r="G15" s="14">
        <f>[801]NºAsuntos!$E$35/Población!$I$15*1000</f>
        <v>2.1703293445130991</v>
      </c>
    </row>
    <row r="16" spans="2:7" ht="20.100000000000001" customHeight="1" thickBot="1" x14ac:dyDescent="0.25">
      <c r="B16" s="9" t="s">
        <v>37</v>
      </c>
      <c r="C16" s="14">
        <f>[802]NºAsuntos!$E$36/Población!$I$16*1000</f>
        <v>136.52704142770602</v>
      </c>
      <c r="D16" s="14">
        <f>[802]NºAsuntos!$E$17/Población!$I$16*1000</f>
        <v>25.435582695490812</v>
      </c>
      <c r="E16" s="14">
        <f>[802]NºAsuntos!$E$28/Población!$I$16*1000</f>
        <v>105.22522363178911</v>
      </c>
      <c r="F16" s="14">
        <f>[802]NºAsuntos!$E$31/Población!$I$16*1000</f>
        <v>2.2108926257887358</v>
      </c>
      <c r="G16" s="14">
        <f>[802]NºAsuntos!$E$35/Población!$I$16*1000</f>
        <v>3.655342474637377</v>
      </c>
    </row>
    <row r="17" spans="2:7" ht="20.100000000000001" customHeight="1" thickBot="1" x14ac:dyDescent="0.25">
      <c r="B17" s="9" t="s">
        <v>29</v>
      </c>
      <c r="C17" s="14">
        <f>[803]NºAsuntos!$E$36/Población!$I$17*1000</f>
        <v>192.78125454810072</v>
      </c>
      <c r="D17" s="14">
        <f>[803]NºAsuntos!$E$17/Población!$I$17*1000</f>
        <v>36.015136079173338</v>
      </c>
      <c r="E17" s="14">
        <f>[803]NºAsuntos!$E$28/Población!$I$17*1000</f>
        <v>150.63309561926937</v>
      </c>
      <c r="F17" s="14">
        <f>[803]NºAsuntos!$E$31/Población!$I$17*1000</f>
        <v>1.6445932178722165</v>
      </c>
      <c r="G17" s="14">
        <f>[803]NºAsuntos!$E$35/Población!$I$17*1000</f>
        <v>4.4884296317857668</v>
      </c>
    </row>
    <row r="18" spans="2:7" ht="20.100000000000001" customHeight="1" thickBot="1" x14ac:dyDescent="0.25">
      <c r="B18" s="9" t="s">
        <v>38</v>
      </c>
      <c r="C18" s="14">
        <f>[804]NºAsuntos!$E$36/Población!$I$18*1000</f>
        <v>168.37033496214639</v>
      </c>
      <c r="D18" s="14">
        <f>[804]NºAsuntos!$E$17/Población!$I$18*1000</f>
        <v>33.053271506323568</v>
      </c>
      <c r="E18" s="14">
        <f>[804]NºAsuntos!$E$28/Población!$I$18*1000</f>
        <v>126.90920772251282</v>
      </c>
      <c r="F18" s="14">
        <f>[804]NºAsuntos!$E$31/Población!$I$18*1000</f>
        <v>1.9058556444213075</v>
      </c>
      <c r="G18" s="14">
        <f>[804]NºAsuntos!$E$35/Población!$I$18*1000</f>
        <v>6.5020000888886722</v>
      </c>
    </row>
    <row r="19" spans="2:7" ht="20.100000000000001" customHeight="1" thickBot="1" x14ac:dyDescent="0.25">
      <c r="B19" s="9" t="s">
        <v>39</v>
      </c>
      <c r="C19" s="14">
        <f>[805]NºAsuntos!$E$36/Población!$I$19*1000</f>
        <v>124.04234237470182</v>
      </c>
      <c r="D19" s="14">
        <f>[805]NºAsuntos!$E$17/Población!$I$19*1000</f>
        <v>29.25296353695321</v>
      </c>
      <c r="E19" s="14">
        <f>[805]NºAsuntos!$E$28/Población!$I$19*1000</f>
        <v>85.946294954606259</v>
      </c>
      <c r="F19" s="14">
        <f>[805]NºAsuntos!$E$31/Población!$I$19*1000</f>
        <v>2.3356114159359485</v>
      </c>
      <c r="G19" s="14">
        <f>[805]NºAsuntos!$E$35/Población!$I$19*1000</f>
        <v>6.5074724672063855</v>
      </c>
    </row>
    <row r="20" spans="2:7" ht="20.100000000000001" customHeight="1" thickBot="1" x14ac:dyDescent="0.25">
      <c r="B20" s="9" t="s">
        <v>40</v>
      </c>
      <c r="C20" s="14">
        <f>[806]NºAsuntos!$E$36/Población!$I$20*1000</f>
        <v>153.53087121419125</v>
      </c>
      <c r="D20" s="14">
        <f>[806]NºAsuntos!$E$17/Población!$I$20*1000</f>
        <v>32.22650913184615</v>
      </c>
      <c r="E20" s="14">
        <f>[806]NºAsuntos!$E$28/Población!$I$20*1000</f>
        <v>112.60697539702491</v>
      </c>
      <c r="F20" s="14">
        <f>[806]NºAsuntos!$E$31/Población!$I$20*1000</f>
        <v>3.052146065819243</v>
      </c>
      <c r="G20" s="14">
        <f>[806]NºAsuntos!$E$35/Población!$I$20*1000</f>
        <v>5.6452406195009459</v>
      </c>
    </row>
    <row r="21" spans="2:7" ht="20.100000000000001" customHeight="1" thickBot="1" x14ac:dyDescent="0.25">
      <c r="B21" s="9" t="s">
        <v>41</v>
      </c>
      <c r="C21" s="14">
        <f>[807]NºAsuntos!$E$36/Población!$I$21*1000</f>
        <v>112.02315256930827</v>
      </c>
      <c r="D21" s="14">
        <f>[807]NºAsuntos!$E$17/Población!$I$21*1000</f>
        <v>23.939873302375762</v>
      </c>
      <c r="E21" s="14">
        <f>[807]NºAsuntos!$E$28/Población!$I$21*1000</f>
        <v>82.649909727335242</v>
      </c>
      <c r="F21" s="14">
        <f>[807]NºAsuntos!$E$31/Población!$I$21*1000</f>
        <v>1.9609701334771865</v>
      </c>
      <c r="G21" s="14">
        <f>[807]NºAsuntos!$E$35/Población!$I$21*1000</f>
        <v>3.4723994061200734</v>
      </c>
    </row>
    <row r="22" spans="2:7" ht="20.100000000000001" customHeight="1" thickBot="1" x14ac:dyDescent="0.25">
      <c r="B22" s="9" t="s">
        <v>42</v>
      </c>
      <c r="C22" s="14">
        <f>[808]NºAsuntos!$E$36/Población!$I$22*1000</f>
        <v>180.26940148739837</v>
      </c>
      <c r="D22" s="14">
        <f>[808]NºAsuntos!$E$17/Población!$I$22*1000</f>
        <v>29.814228433841915</v>
      </c>
      <c r="E22" s="14">
        <f>[808]NºAsuntos!$E$28/Población!$I$22*1000</f>
        <v>140.47292277339579</v>
      </c>
      <c r="F22" s="14">
        <f>[808]NºAsuntos!$E$31/Población!$I$22*1000</f>
        <v>5.3903488900834313</v>
      </c>
      <c r="G22" s="14">
        <f>[808]NºAsuntos!$E$35/Población!$I$22*1000</f>
        <v>4.5919013900772194</v>
      </c>
    </row>
    <row r="23" spans="2:7" ht="20.100000000000001" customHeight="1" thickBot="1" x14ac:dyDescent="0.25">
      <c r="B23" s="9" t="s">
        <v>5</v>
      </c>
      <c r="C23" s="14">
        <f>[809]NºAsuntos!$E$36/Población!$I$23*1000</f>
        <v>164.7940728740416</v>
      </c>
      <c r="D23" s="14">
        <f>[809]NºAsuntos!$E$17/Población!$I$23*1000</f>
        <v>38.252587182101308</v>
      </c>
      <c r="E23" s="14">
        <f>[809]NºAsuntos!$E$28/Población!$I$23*1000</f>
        <v>115.74410290071644</v>
      </c>
      <c r="F23" s="14">
        <f>[809]NºAsuntos!$E$31/Población!$I$23*1000</f>
        <v>3.2296132843595937</v>
      </c>
      <c r="G23" s="14">
        <f>[809]NºAsuntos!$E$35/Población!$I$23*1000</f>
        <v>7.5677695068642379</v>
      </c>
    </row>
    <row r="24" spans="2:7" ht="20.100000000000001" customHeight="1" thickBot="1" x14ac:dyDescent="0.25">
      <c r="B24" s="9" t="s">
        <v>43</v>
      </c>
      <c r="C24" s="14">
        <f>[810]NºAsuntos!$E$36/Población!$I$24*1000</f>
        <v>169.05641551627295</v>
      </c>
      <c r="D24" s="14">
        <f>[810]NºAsuntos!$E$17/Población!$I$24*1000</f>
        <v>31.366761907752206</v>
      </c>
      <c r="E24" s="14">
        <f>[810]NºAsuntos!$E$28/Población!$I$24*1000</f>
        <v>129.92733070286525</v>
      </c>
      <c r="F24" s="14">
        <f>[810]NºAsuntos!$E$31/Población!$I$24*1000</f>
        <v>2.4403347741600117</v>
      </c>
      <c r="G24" s="14">
        <f>[810]NºAsuntos!$E$35/Población!$I$24*1000</f>
        <v>5.3219881314954947</v>
      </c>
    </row>
    <row r="25" spans="2:7" ht="20.100000000000001" customHeight="1" thickBot="1" x14ac:dyDescent="0.25">
      <c r="B25" s="9" t="s">
        <v>44</v>
      </c>
      <c r="C25" s="14">
        <f>[811]NºAsuntos!$E$36/Población!$I$25*1000</f>
        <v>126.88925394317438</v>
      </c>
      <c r="D25" s="14">
        <f>[811]NºAsuntos!$E$17/Población!$I$25*1000</f>
        <v>24.468656517460527</v>
      </c>
      <c r="E25" s="14">
        <f>[811]NºAsuntos!$E$28/Población!$I$25*1000</f>
        <v>96.665111483135405</v>
      </c>
      <c r="F25" s="14">
        <f>[811]NºAsuntos!$E$31/Población!$I$25*1000</f>
        <v>1.2859668863526765</v>
      </c>
      <c r="G25" s="14">
        <f>[811]NºAsuntos!$E$35/Población!$I$25*1000</f>
        <v>4.4695190562257654</v>
      </c>
    </row>
    <row r="26" spans="2:7" ht="20.100000000000001" customHeight="1" thickBot="1" x14ac:dyDescent="0.25">
      <c r="B26" s="9" t="s">
        <v>45</v>
      </c>
      <c r="C26" s="14">
        <f>[812]NºAsuntos!$E$36/Población!$I$26*1000</f>
        <v>166.73819905021824</v>
      </c>
      <c r="D26" s="14">
        <f>[812]NºAsuntos!$E$17/Población!$I$26*1000</f>
        <v>27.893842576579623</v>
      </c>
      <c r="E26" s="14">
        <f>[812]NºAsuntos!$E$28/Población!$I$26*1000</f>
        <v>130.55080776892177</v>
      </c>
      <c r="F26" s="14">
        <f>[812]NºAsuntos!$E$31/Población!$I$26*1000</f>
        <v>3.8185669454746511</v>
      </c>
      <c r="G26" s="14">
        <f>[812]NºAsuntos!$E$35/Población!$I$26*1000</f>
        <v>4.474981759242195</v>
      </c>
    </row>
    <row r="27" spans="2:7" ht="20.100000000000001" customHeight="1" thickBot="1" x14ac:dyDescent="0.25">
      <c r="B27" s="9" t="s">
        <v>46</v>
      </c>
      <c r="C27" s="14">
        <f>[813]NºAsuntos!$E$36/Población!$I$27*1000</f>
        <v>153.46241851990482</v>
      </c>
      <c r="D27" s="14">
        <f>[813]NºAsuntos!$E$17/Población!$I$27*1000</f>
        <v>32.128581416535425</v>
      </c>
      <c r="E27" s="14">
        <f>[813]NºAsuntos!$E$28/Población!$I$27*1000</f>
        <v>110.99389826199338</v>
      </c>
      <c r="F27" s="14">
        <f>[813]NºAsuntos!$E$31/Población!$I$27*1000</f>
        <v>3.4163376860006074</v>
      </c>
      <c r="G27" s="14">
        <f>[813]NºAsuntos!$E$35/Población!$I$27*1000</f>
        <v>6.9236011553753913</v>
      </c>
    </row>
    <row r="28" spans="2:7" ht="20.100000000000001" customHeight="1" thickBot="1" x14ac:dyDescent="0.25">
      <c r="B28" s="9" t="s">
        <v>47</v>
      </c>
      <c r="C28" s="14">
        <f>[814]NºAsuntos!$E$36/Población!$I$28*1000</f>
        <v>130.3465405085748</v>
      </c>
      <c r="D28" s="14">
        <f>[814]NºAsuntos!$E$17/Población!$I$28*1000</f>
        <v>21.6581904198699</v>
      </c>
      <c r="E28" s="14">
        <f>[814]NºAsuntos!$E$28/Población!$I$28*1000</f>
        <v>102.65168539325843</v>
      </c>
      <c r="F28" s="14">
        <f>[814]NºAsuntos!$E$31/Población!$I$28*1000</f>
        <v>2.9520993494973387</v>
      </c>
      <c r="G28" s="14">
        <f>[814]NºAsuntos!$E$35/Población!$I$28*1000</f>
        <v>3.0845653459491427</v>
      </c>
    </row>
    <row r="29" spans="2:7" ht="20.100000000000001" customHeight="1" thickBot="1" x14ac:dyDescent="0.25">
      <c r="B29" s="9" t="s">
        <v>48</v>
      </c>
      <c r="C29" s="14">
        <f>[815]NºAsuntos!$E$36/Población!$I$10*1000</f>
        <v>196.6540001530183</v>
      </c>
      <c r="D29" s="14">
        <f>[815]NºAsuntos!$E$17/Población!$I$10*1000</f>
        <v>40.700313687485654</v>
      </c>
      <c r="E29" s="14">
        <f>[815]NºAsuntos!$E$28/Población!$I$10*1000</f>
        <v>142.87317334421462</v>
      </c>
      <c r="F29" s="14">
        <f>[815]NºAsuntos!$E$31/Población!$I$10*1000</f>
        <v>3.5857284945550996</v>
      </c>
      <c r="G29" s="14">
        <f>[815]NºAsuntos!$E$35/Población!$I$10*1000</f>
        <v>9.4947846267628968</v>
      </c>
    </row>
    <row r="30" spans="2:7" ht="20.100000000000001" customHeight="1" thickBot="1" x14ac:dyDescent="0.25">
      <c r="B30" s="9" t="s">
        <v>49</v>
      </c>
      <c r="C30" s="14">
        <f>[816]NºAsuntos!$E$36/Población!$I$30*1000</f>
        <v>160.06004092412047</v>
      </c>
      <c r="D30" s="14">
        <f>[816]NºAsuntos!$E$17/Población!$I$30*1000</f>
        <v>30.014797822100444</v>
      </c>
      <c r="E30" s="14">
        <f>[816]NºAsuntos!$E$28/Población!$I$30*1000</f>
        <v>123.51296048485878</v>
      </c>
      <c r="F30" s="14">
        <f>[816]NºAsuntos!$E$31/Población!$I$30*1000</f>
        <v>2.3874763695065742</v>
      </c>
      <c r="G30" s="14">
        <f>[816]NºAsuntos!$E$35/Población!$I$30*1000</f>
        <v>4.1448062476546514</v>
      </c>
    </row>
    <row r="31" spans="2:7" ht="20.100000000000001" customHeight="1" thickBot="1" x14ac:dyDescent="0.25">
      <c r="B31" s="9" t="s">
        <v>50</v>
      </c>
      <c r="C31" s="14">
        <f>[817]NºAsuntos!$E$36/Población!$I$31*1000</f>
        <v>246.69296085619371</v>
      </c>
      <c r="D31" s="14">
        <f>[817]NºAsuntos!$E$17/Población!$I$31*1000</f>
        <v>34.795876932334501</v>
      </c>
      <c r="E31" s="14">
        <f>[817]NºAsuntos!$E$28/Población!$I$31*1000</f>
        <v>200.16762828597251</v>
      </c>
      <c r="F31" s="14">
        <f>[817]NºAsuntos!$E$31/Población!$I$31*1000</f>
        <v>4.0662866941371956</v>
      </c>
      <c r="G31" s="14">
        <f>[817]NºAsuntos!$E$35/Población!$I$31*1000</f>
        <v>7.6631689437495121</v>
      </c>
    </row>
    <row r="32" spans="2:7" ht="20.100000000000001" customHeight="1" thickBot="1" x14ac:dyDescent="0.25">
      <c r="B32" s="9" t="s">
        <v>51</v>
      </c>
      <c r="C32" s="14">
        <f>[818]NºAsuntos!$E$36/Población!$I$32*1000</f>
        <v>146.6422106785198</v>
      </c>
      <c r="D32" s="14">
        <f>[818]NºAsuntos!$E$17/Población!$I$32*1000</f>
        <v>26.589192952391151</v>
      </c>
      <c r="E32" s="14">
        <f>[818]NºAsuntos!$E$28/Población!$I$32*1000</f>
        <v>111.02036808939823</v>
      </c>
      <c r="F32" s="14">
        <f>[818]NºAsuntos!$E$31/Población!$I$32*1000</f>
        <v>2.6062585908352522</v>
      </c>
      <c r="G32" s="14">
        <f>[818]NºAsuntos!$E$35/Población!$I$32*1000</f>
        <v>6.4263910458951425</v>
      </c>
    </row>
    <row r="33" spans="2:7" ht="20.100000000000001" customHeight="1" thickBot="1" x14ac:dyDescent="0.25">
      <c r="B33" s="9" t="s">
        <v>52</v>
      </c>
      <c r="C33" s="14">
        <f>[819]NºAsuntos!$E$36/Población!$I$33*1000</f>
        <v>159.60142343033851</v>
      </c>
      <c r="D33" s="14">
        <f>[819]NºAsuntos!$E$17/Población!$I$33*1000</f>
        <v>27.544301355714918</v>
      </c>
      <c r="E33" s="14">
        <f>[819]NºAsuntos!$E$28/Población!$I$33*1000</f>
        <v>122.434298964577</v>
      </c>
      <c r="F33" s="14">
        <f>[819]NºAsuntos!$E$31/Población!$I$33*1000</f>
        <v>4.6315738710915442</v>
      </c>
      <c r="G33" s="14">
        <f>[819]NºAsuntos!$E$35/Población!$I$33*1000</f>
        <v>4.9912492389550529</v>
      </c>
    </row>
    <row r="34" spans="2:7" ht="20.100000000000001" customHeight="1" thickBot="1" x14ac:dyDescent="0.25">
      <c r="B34" s="9" t="s">
        <v>53</v>
      </c>
      <c r="C34" s="14">
        <f>[820]NºAsuntos!$E$36/Población!$I$34*1000</f>
        <v>108.35639030108084</v>
      </c>
      <c r="D34" s="14">
        <f>[820]NºAsuntos!$E$17/Población!$I$34*1000</f>
        <v>24.383595251400454</v>
      </c>
      <c r="E34" s="14">
        <f>[820]NºAsuntos!$E$28/Población!$I$34*1000</f>
        <v>78.775322911129578</v>
      </c>
      <c r="F34" s="14">
        <f>[820]NºAsuntos!$E$31/Población!$I$34*1000</f>
        <v>2.2579927035487288</v>
      </c>
      <c r="G34" s="14">
        <f>[820]NºAsuntos!$E$35/Población!$I$34*1000</f>
        <v>2.9394794350020668</v>
      </c>
    </row>
    <row r="35" spans="2:7" ht="20.100000000000001" customHeight="1" thickBot="1" x14ac:dyDescent="0.25">
      <c r="B35" s="9" t="s">
        <v>54</v>
      </c>
      <c r="C35" s="14">
        <f>[821]NºAsuntos!$E$36/Población!$I$35*1000</f>
        <v>122.74536587127035</v>
      </c>
      <c r="D35" s="14">
        <f>[821]NºAsuntos!$E$17/Población!$I$35*1000</f>
        <v>26.685541157321186</v>
      </c>
      <c r="E35" s="14">
        <f>[821]NºAsuntos!$E$28/Población!$I$35*1000</f>
        <v>89.529471584464346</v>
      </c>
      <c r="F35" s="14">
        <f>[821]NºAsuntos!$E$31/Población!$I$35*1000</f>
        <v>2.8853299475586018</v>
      </c>
      <c r="G35" s="14">
        <f>[821]NºAsuntos!$E$35/Población!$I$35*1000</f>
        <v>3.6450231819262209</v>
      </c>
    </row>
    <row r="36" spans="2:7" ht="20.100000000000001" customHeight="1" thickBot="1" x14ac:dyDescent="0.25">
      <c r="B36" s="9" t="s">
        <v>55</v>
      </c>
      <c r="C36" s="14">
        <f>[822]NºAsuntos!$E$36/Población!$I$36*1000</f>
        <v>153.49818149650071</v>
      </c>
      <c r="D36" s="14">
        <f>[822]NºAsuntos!$E$17/Población!$I$36*1000</f>
        <v>33.306057456266451</v>
      </c>
      <c r="E36" s="14">
        <f>[822]NºAsuntos!$E$28/Población!$I$36*1000</f>
        <v>109.83600295142413</v>
      </c>
      <c r="F36" s="14">
        <f>[822]NºAsuntos!$E$31/Población!$I$36*1000</f>
        <v>2.6056169542026635</v>
      </c>
      <c r="G36" s="14">
        <f>[822]NºAsuntos!$E$35/Población!$I$36*1000</f>
        <v>7.7505041346074588</v>
      </c>
    </row>
    <row r="37" spans="2:7" ht="20.100000000000001" customHeight="1" thickBot="1" x14ac:dyDescent="0.25">
      <c r="B37" s="9" t="s">
        <v>56</v>
      </c>
      <c r="C37" s="14">
        <f>[823]NºAsuntos!$E$36/Población!$I$37*1000</f>
        <v>127.02196780309893</v>
      </c>
      <c r="D37" s="14">
        <f>[823]NºAsuntos!$E$17/Población!$I$37*1000</f>
        <v>31.148629880559884</v>
      </c>
      <c r="E37" s="14">
        <f>[823]NºAsuntos!$E$28/Población!$I$37*1000</f>
        <v>91.211671074719519</v>
      </c>
      <c r="F37" s="14">
        <f>[823]NºAsuntos!$E$31/Población!$I$37*1000</f>
        <v>1.6907599966184801</v>
      </c>
      <c r="G37" s="14">
        <f>[823]NºAsuntos!$E$35/Población!$I$37*1000</f>
        <v>2.9709068512010433</v>
      </c>
    </row>
    <row r="38" spans="2:7" ht="20.100000000000001" customHeight="1" thickBot="1" x14ac:dyDescent="0.25">
      <c r="B38" s="9" t="s">
        <v>57</v>
      </c>
      <c r="C38" s="14">
        <f>[824]NºAsuntos!$E$36/Población!$I$38*1000</f>
        <v>114.61078451246706</v>
      </c>
      <c r="D38" s="14">
        <f>[824]NºAsuntos!$E$17/Población!$I$38*1000</f>
        <v>29.681059531049396</v>
      </c>
      <c r="E38" s="14">
        <f>[824]NºAsuntos!$E$28/Población!$I$38*1000</f>
        <v>75.452733292790043</v>
      </c>
      <c r="F38" s="14">
        <f>[824]NºAsuntos!$E$31/Población!$I$38*1000</f>
        <v>2.9703583575466812</v>
      </c>
      <c r="G38" s="14">
        <f>[824]NºAsuntos!$E$35/Población!$I$38*1000</f>
        <v>6.5066333310809288</v>
      </c>
    </row>
    <row r="39" spans="2:7" ht="20.100000000000001" customHeight="1" thickBot="1" x14ac:dyDescent="0.25">
      <c r="B39" s="9" t="s">
        <v>58</v>
      </c>
      <c r="C39" s="14">
        <f>[825]NºAsuntos!$E$36/Población!$I$39*1000</f>
        <v>207.94437203217726</v>
      </c>
      <c r="D39" s="14">
        <f>[825]NºAsuntos!$E$17/Población!$I$39*1000</f>
        <v>34.076388976812197</v>
      </c>
      <c r="E39" s="14">
        <f>[825]NºAsuntos!$E$28/Población!$I$39*1000</f>
        <v>161.73549814862287</v>
      </c>
      <c r="F39" s="14">
        <f>[825]NºAsuntos!$E$31/Población!$I$39*1000</f>
        <v>5.6033776143436471</v>
      </c>
      <c r="G39" s="14">
        <f>[825]NºAsuntos!$E$35/Población!$I$39*1000</f>
        <v>6.5291072923985425</v>
      </c>
    </row>
    <row r="40" spans="2:7" ht="20.100000000000001" customHeight="1" thickBot="1" x14ac:dyDescent="0.25">
      <c r="B40" s="9" t="s">
        <v>59</v>
      </c>
      <c r="C40" s="14">
        <f>[826]NºAsuntos!$E$36/Población!$I$40*1000</f>
        <v>283.437549216717</v>
      </c>
      <c r="D40" s="14">
        <f>[826]NºAsuntos!$E$17/Población!$I$40*1000</f>
        <v>39.470241966678593</v>
      </c>
      <c r="E40" s="14">
        <f>[826]NºAsuntos!$E$28/Población!$I$40*1000</f>
        <v>231.502257296924</v>
      </c>
      <c r="F40" s="14">
        <f>[826]NºAsuntos!$E$31/Población!$I$40*1000</f>
        <v>4.088241166690719</v>
      </c>
      <c r="G40" s="14">
        <f>[826]NºAsuntos!$E$35/Población!$I$40*1000</f>
        <v>8.3768087864236644</v>
      </c>
    </row>
    <row r="41" spans="2:7" ht="20.100000000000001" customHeight="1" thickBot="1" x14ac:dyDescent="0.25">
      <c r="B41" s="9" t="s">
        <v>60</v>
      </c>
      <c r="C41" s="14">
        <f>[827]NºAsuntos!$E$36/Población!$I$41*1000</f>
        <v>177.50160367267981</v>
      </c>
      <c r="D41" s="14">
        <f>[827]NºAsuntos!$E$17/Población!$I$41*1000</f>
        <v>30.02764853816166</v>
      </c>
      <c r="E41" s="14">
        <f>[827]NºAsuntos!$E$28/Población!$I$41*1000</f>
        <v>136.27877541902009</v>
      </c>
      <c r="F41" s="14">
        <f>[827]NºAsuntos!$E$31/Población!$I$41*1000</f>
        <v>5.2876302782021911</v>
      </c>
      <c r="G41" s="14">
        <f>[827]NºAsuntos!$E$35/Población!$I$41*1000</f>
        <v>5.9075494372958595</v>
      </c>
    </row>
    <row r="42" spans="2:7" ht="20.100000000000001" customHeight="1" thickBot="1" x14ac:dyDescent="0.25">
      <c r="B42" s="9" t="s">
        <v>61</v>
      </c>
      <c r="C42" s="14">
        <f>[828]NºAsuntos!$E$36/Población!$I$42*1000</f>
        <v>134.33276776106001</v>
      </c>
      <c r="D42" s="14">
        <f>[828]NºAsuntos!$E$17/Población!$I$42*1000</f>
        <v>23.313351246789772</v>
      </c>
      <c r="E42" s="14">
        <f>[828]NºAsuntos!$E$28/Población!$I$42*1000</f>
        <v>104.35798744297513</v>
      </c>
      <c r="F42" s="14">
        <f>[828]NºAsuntos!$E$31/Población!$I$42*1000</f>
        <v>2.6688629356501989</v>
      </c>
      <c r="G42" s="14">
        <f>[828]NºAsuntos!$E$35/Población!$I$42*1000</f>
        <v>3.9925661356449176</v>
      </c>
    </row>
    <row r="43" spans="2:7" ht="20.100000000000001" customHeight="1" thickBot="1" x14ac:dyDescent="0.25">
      <c r="B43" s="9" t="s">
        <v>62</v>
      </c>
      <c r="C43" s="14">
        <f>[829]NºAsuntos!$E$36/Población!$I$43*1000</f>
        <v>127.16145385040039</v>
      </c>
      <c r="D43" s="14">
        <f>[829]NºAsuntos!$E$17/Población!$I$43*1000</f>
        <v>28.252494613060435</v>
      </c>
      <c r="E43" s="14">
        <f>[829]NºAsuntos!$E$28/Población!$I$43*1000</f>
        <v>88.520921507986913</v>
      </c>
      <c r="F43" s="14">
        <f>[829]NºAsuntos!$E$31/Población!$I$43*1000</f>
        <v>2.7157298635308647</v>
      </c>
      <c r="G43" s="14">
        <f>[829]NºAsuntos!$E$35/Población!$I$43*1000</f>
        <v>7.6723078658221686</v>
      </c>
    </row>
    <row r="44" spans="2:7" ht="20.100000000000001" customHeight="1" thickBot="1" x14ac:dyDescent="0.25">
      <c r="B44" s="9" t="s">
        <v>63</v>
      </c>
      <c r="C44" s="14">
        <f>[830]NºAsuntos!$E$36/Población!$I$44*1000</f>
        <v>135.85447914081752</v>
      </c>
      <c r="D44" s="14">
        <f>[830]NºAsuntos!$E$17/Población!$I$44*1000</f>
        <v>30.268754220024121</v>
      </c>
      <c r="E44" s="14">
        <f>[830]NºAsuntos!$E$28/Población!$I$44*1000</f>
        <v>97.125478269400574</v>
      </c>
      <c r="F44" s="14">
        <f>[830]NºAsuntos!$E$31/Población!$I$44*1000</f>
        <v>2.9374253380347528</v>
      </c>
      <c r="G44" s="14">
        <f>[830]NºAsuntos!$E$35/Población!$I$44*1000</f>
        <v>5.5228213133580724</v>
      </c>
    </row>
    <row r="45" spans="2:7" ht="20.100000000000001" customHeight="1" thickBot="1" x14ac:dyDescent="0.25">
      <c r="B45" s="9" t="s">
        <v>64</v>
      </c>
      <c r="C45" s="14">
        <f>[831]NºAsuntos!$E$36/Población!$I$45*1000</f>
        <v>203.60108278133939</v>
      </c>
      <c r="D45" s="14">
        <f>[831]NºAsuntos!$E$17/Población!$I$45*1000</f>
        <v>41.665587147872962</v>
      </c>
      <c r="E45" s="14">
        <f>[831]NºAsuntos!$E$28/Población!$I$45*1000</f>
        <v>147.83841954610313</v>
      </c>
      <c r="F45" s="14">
        <f>[831]NºAsuntos!$E$31/Población!$I$45*1000</f>
        <v>2.6589747354219382</v>
      </c>
      <c r="G45" s="14">
        <f>[831]NºAsuntos!$E$35/Población!$I$45*1000</f>
        <v>11.438101351941359</v>
      </c>
    </row>
    <row r="46" spans="2:7" ht="20.100000000000001" customHeight="1" thickBot="1" x14ac:dyDescent="0.25">
      <c r="B46" s="9" t="s">
        <v>65</v>
      </c>
      <c r="C46" s="14">
        <f>[832]NºAsuntos!$E$36/Población!$I$46*1000</f>
        <v>168.99262271814479</v>
      </c>
      <c r="D46" s="14">
        <f>[832]NºAsuntos!$E$17/Población!$I$46*1000</f>
        <v>36.400992361015113</v>
      </c>
      <c r="E46" s="14">
        <f>[832]NºAsuntos!$E$28/Población!$I$46*1000</f>
        <v>122.75560630155576</v>
      </c>
      <c r="F46" s="14">
        <f>[832]NºAsuntos!$E$31/Población!$I$46*1000</f>
        <v>2.5315547376163288</v>
      </c>
      <c r="G46" s="14">
        <f>[832]NºAsuntos!$E$35/Población!$I$46*1000</f>
        <v>7.3044693179575768</v>
      </c>
    </row>
    <row r="47" spans="2:7" ht="20.100000000000001" customHeight="1" thickBot="1" x14ac:dyDescent="0.25">
      <c r="B47" s="9" t="s">
        <v>30</v>
      </c>
      <c r="C47" s="14">
        <f>[833]NºAsuntos!$E$36/Población!$I$47*1000</f>
        <v>120.15160146034542</v>
      </c>
      <c r="D47" s="14">
        <f>[833]NºAsuntos!$E$17/Población!$I$47*1000</f>
        <v>31.148856839543253</v>
      </c>
      <c r="E47" s="14">
        <f>[833]NºAsuntos!$E$28/Población!$I$47*1000</f>
        <v>77.946583464954301</v>
      </c>
      <c r="F47" s="14">
        <f>[833]NºAsuntos!$E$31/Población!$I$47*1000</f>
        <v>3.2592372025581935</v>
      </c>
      <c r="G47" s="14">
        <f>[833]NºAsuntos!$E$35/Población!$I$47*1000</f>
        <v>7.7969239532896619</v>
      </c>
    </row>
    <row r="48" spans="2:7" ht="20.100000000000001" customHeight="1" thickBot="1" x14ac:dyDescent="0.25">
      <c r="B48" s="9" t="s">
        <v>66</v>
      </c>
      <c r="C48" s="14">
        <f>[834]NºAsuntos!$E$36/Población!$I$48*1000</f>
        <v>137.69262736034338</v>
      </c>
      <c r="D48" s="14">
        <f>[834]NºAsuntos!$E$17/Población!$I$48*1000</f>
        <v>27.746309695268781</v>
      </c>
      <c r="E48" s="14">
        <f>[834]NºAsuntos!$E$28/Población!$I$48*1000</f>
        <v>102.25260868822689</v>
      </c>
      <c r="F48" s="14">
        <f>[834]NºAsuntos!$E$31/Población!$I$48*1000</f>
        <v>2.7723538821493428</v>
      </c>
      <c r="G48" s="14">
        <f>[834]NºAsuntos!$E$35/Población!$I$48*1000</f>
        <v>4.9213550946983711</v>
      </c>
    </row>
    <row r="49" spans="2:7" ht="20.100000000000001" customHeight="1" thickBot="1" x14ac:dyDescent="0.25">
      <c r="B49" s="9" t="s">
        <v>67</v>
      </c>
      <c r="C49" s="14">
        <f>[835]NºAsuntos!$E$36/Población!$I$49*1000</f>
        <v>185.05925880750542</v>
      </c>
      <c r="D49" s="14">
        <f>[835]NºAsuntos!$E$17/Población!$I$49*1000</f>
        <v>36.024882600475699</v>
      </c>
      <c r="E49" s="14">
        <f>[835]NºAsuntos!$E$28/Población!$I$49*1000</f>
        <v>139.78166737817892</v>
      </c>
      <c r="F49" s="14">
        <f>[835]NºAsuntos!$E$31/Población!$I$49*1000</f>
        <v>2.7728649549714377</v>
      </c>
      <c r="G49" s="14">
        <f>[835]NºAsuntos!$E$35/Población!$I$49*1000</f>
        <v>6.4798438738793678</v>
      </c>
    </row>
    <row r="50" spans="2:7" ht="20.100000000000001" customHeight="1" thickBot="1" x14ac:dyDescent="0.25">
      <c r="B50" s="9" t="s">
        <v>68</v>
      </c>
      <c r="C50" s="14">
        <f>[836]NºAsuntos!$E$36/Población!$I$50*1000</f>
        <v>131.85247486222869</v>
      </c>
      <c r="D50" s="14">
        <f>[836]NºAsuntos!$E$17/Población!$I$50*1000</f>
        <v>29.895431892645082</v>
      </c>
      <c r="E50" s="14">
        <f>[836]NºAsuntos!$E$28/Población!$I$50*1000</f>
        <v>95.071615972684256</v>
      </c>
      <c r="F50" s="14">
        <f>[836]NºAsuntos!$E$31/Población!$I$50*1000</f>
        <v>2.5106388320508155</v>
      </c>
      <c r="G50" s="14">
        <f>[836]NºAsuntos!$E$35/Población!$I$50*1000</f>
        <v>4.3747881648485452</v>
      </c>
    </row>
    <row r="51" spans="2:7" ht="20.100000000000001" customHeight="1" thickBot="1" x14ac:dyDescent="0.25">
      <c r="B51" s="9" t="s">
        <v>69</v>
      </c>
      <c r="C51" s="14">
        <f>[837]NºAsuntos!$E$36/Población!$I$51*1000</f>
        <v>213.42660988023368</v>
      </c>
      <c r="D51" s="14">
        <f>[837]NºAsuntos!$E$17/Población!$I$51*1000</f>
        <v>31.229113357285151</v>
      </c>
      <c r="E51" s="14">
        <f>[837]NºAsuntos!$E$28/Población!$I$51*1000</f>
        <v>170.46366454186196</v>
      </c>
      <c r="F51" s="14">
        <f>[837]NºAsuntos!$E$31/Población!$I$51*1000</f>
        <v>6.7853875154926167</v>
      </c>
      <c r="G51" s="14">
        <f>[837]NºAsuntos!$E$35/Población!$I$51*1000</f>
        <v>4.9484444655939539</v>
      </c>
    </row>
    <row r="52" spans="2:7" ht="20.100000000000001" customHeight="1" thickBot="1" x14ac:dyDescent="0.25">
      <c r="B52" s="9" t="s">
        <v>70</v>
      </c>
      <c r="C52" s="14">
        <f>[838]NºAsuntos!$E$36/Población!$I$52*1000</f>
        <v>121.60097443184853</v>
      </c>
      <c r="D52" s="14">
        <f>[838]NºAsuntos!$E$17/Población!$I$52*1000</f>
        <v>31.391236524099025</v>
      </c>
      <c r="E52" s="14">
        <f>[838]NºAsuntos!$E$28/Población!$I$52*1000</f>
        <v>82.388640176081552</v>
      </c>
      <c r="F52" s="14">
        <f>[838]NºAsuntos!$E$31/Población!$I$52*1000</f>
        <v>2.9275693695041296</v>
      </c>
      <c r="G52" s="14">
        <f>[838]NºAsuntos!$E$35/Población!$I$52*1000</f>
        <v>4.8935283621638375</v>
      </c>
    </row>
    <row r="53" spans="2:7" ht="20.100000000000001" customHeight="1" thickBot="1" x14ac:dyDescent="0.25">
      <c r="B53" s="9" t="s">
        <v>71</v>
      </c>
      <c r="C53" s="14">
        <f>[839]NºAsuntos!$E$36/Población!$I$53*1000</f>
        <v>194.17388607736922</v>
      </c>
      <c r="D53" s="14">
        <f>[839]NºAsuntos!$E$17/Población!$I$53*1000</f>
        <v>33.970928813201461</v>
      </c>
      <c r="E53" s="14">
        <f>[839]NºAsuntos!$E$28/Población!$I$53*1000</f>
        <v>154.21716955113192</v>
      </c>
      <c r="F53" s="14">
        <f>[839]NºAsuntos!$E$31/Población!$I$53*1000</f>
        <v>1.4265071688253419</v>
      </c>
      <c r="G53" s="14">
        <f>[839]NºAsuntos!$E$35/Población!$I$53*1000</f>
        <v>4.5592805442105053</v>
      </c>
    </row>
    <row r="54" spans="2:7" ht="20.100000000000001" customHeight="1" thickBot="1" x14ac:dyDescent="0.25">
      <c r="B54" s="9" t="s">
        <v>72</v>
      </c>
      <c r="C54" s="14">
        <f>[840]NºAsuntos!$E$36/Población!$I$54*1000</f>
        <v>83.390028185440769</v>
      </c>
      <c r="D54" s="14">
        <f>[840]NºAsuntos!$E$17/Población!$I$54*1000</f>
        <v>14.863307554531191</v>
      </c>
      <c r="E54" s="14">
        <f>[840]NºAsuntos!$E$28/Población!$I$54*1000</f>
        <v>63.243686044735711</v>
      </c>
      <c r="F54" s="14">
        <f>[840]NºAsuntos!$E$31/Población!$I$54*1000</f>
        <v>1.7702678311095066</v>
      </c>
      <c r="G54" s="14">
        <f>[840]NºAsuntos!$E$35/Población!$I$54*1000</f>
        <v>3.5127667550643542</v>
      </c>
    </row>
    <row r="55" spans="2:7" ht="20.100000000000001" customHeight="1" thickBot="1" x14ac:dyDescent="0.25">
      <c r="B55" s="9" t="s">
        <v>73</v>
      </c>
      <c r="C55" s="14">
        <f>[841]NºAsuntos!$E$36/Población!$I$55*1000</f>
        <v>119.11585141826176</v>
      </c>
      <c r="D55" s="14">
        <f>[841]NºAsuntos!$E$17/Población!$I$55*1000</f>
        <v>23.460768173652834</v>
      </c>
      <c r="E55" s="14">
        <f>[841]NºAsuntos!$E$28/Población!$I$55*1000</f>
        <v>90.245629833917278</v>
      </c>
      <c r="F55" s="14">
        <f>[841]NºAsuntos!$E$31/Población!$I$55*1000</f>
        <v>2.0246364644062655</v>
      </c>
      <c r="G55" s="14">
        <f>[841]NºAsuntos!$E$35/Población!$I$55*1000</f>
        <v>3.3848169462853783</v>
      </c>
    </row>
    <row r="56" spans="2:7" ht="20.100000000000001" customHeight="1" thickBot="1" x14ac:dyDescent="0.25">
      <c r="B56" s="9" t="s">
        <v>74</v>
      </c>
      <c r="C56" s="14">
        <f>[842]NºAsuntos!$E$36/Población!$I$56*1000</f>
        <v>209.22604337129994</v>
      </c>
      <c r="D56" s="14">
        <f>[842]NºAsuntos!$E$17/Población!$I$56*1000</f>
        <v>34.432972194058834</v>
      </c>
      <c r="E56" s="14">
        <f>[842]NºAsuntos!$E$28/Población!$I$56*1000</f>
        <v>164.78616584147167</v>
      </c>
      <c r="F56" s="14">
        <f>[842]NºAsuntos!$E$31/Población!$I$56*1000</f>
        <v>3.5857876365935342</v>
      </c>
      <c r="G56" s="14">
        <f>[842]NºAsuntos!$E$35/Población!$I$56*1000</f>
        <v>6.4211176991759045</v>
      </c>
    </row>
    <row r="57" spans="2:7" ht="20.100000000000001" customHeight="1" thickBot="1" x14ac:dyDescent="0.25">
      <c r="B57" s="9" t="s">
        <v>75</v>
      </c>
      <c r="C57" s="14">
        <f>[843]NºAsuntos!$E$36/Población!$I$57*1000</f>
        <v>145.90126538115749</v>
      </c>
      <c r="D57" s="14">
        <f>[843]NºAsuntos!$E$17/Población!$I$57*1000</f>
        <v>33.95116752066955</v>
      </c>
      <c r="E57" s="14">
        <f>[843]NºAsuntos!$E$28/Población!$I$57*1000</f>
        <v>101.91676203511476</v>
      </c>
      <c r="F57" s="14">
        <f>[843]NºAsuntos!$E$31/Población!$I$57*1000</f>
        <v>2.971278282256101</v>
      </c>
      <c r="G57" s="14">
        <f>[843]NºAsuntos!$E$35/Población!$I$57*1000</f>
        <v>7.0620575431170813</v>
      </c>
    </row>
    <row r="58" spans="2:7" ht="20.100000000000001" customHeight="1" thickBot="1" x14ac:dyDescent="0.25">
      <c r="B58" s="9" t="s">
        <v>76</v>
      </c>
      <c r="C58" s="14">
        <f>[844]NºAsuntos!$E$36/Población!$I$58*1000</f>
        <v>106.54694605981636</v>
      </c>
      <c r="D58" s="14">
        <f>[844]NºAsuntos!$E$17/Población!$I$58*1000</f>
        <v>28.605180569568592</v>
      </c>
      <c r="E58" s="14">
        <f>[844]NºAsuntos!$E$28/Población!$I$58*1000</f>
        <v>71.913484792407104</v>
      </c>
      <c r="F58" s="14">
        <f>[844]NºAsuntos!$E$31/Población!$I$58*1000</f>
        <v>1.7288845399189807</v>
      </c>
      <c r="G58" s="14">
        <f>[844]NºAsuntos!$E$35/Población!$I$58*1000</f>
        <v>4.2993961579216879</v>
      </c>
    </row>
    <row r="59" spans="2:7" ht="20.100000000000001" customHeight="1" thickBot="1" x14ac:dyDescent="0.25">
      <c r="B59" s="9" t="s">
        <v>77</v>
      </c>
      <c r="C59" s="14">
        <f>[845]NºAsuntos!$E$36/Población!$I$59*1000</f>
        <v>172.26879942348648</v>
      </c>
      <c r="D59" s="14">
        <f>[845]NºAsuntos!$E$17/Población!$I$59*1000</f>
        <v>30.201543803659405</v>
      </c>
      <c r="E59" s="14">
        <f>[845]NºAsuntos!$E$28/Población!$I$59*1000</f>
        <v>133.79381491943181</v>
      </c>
      <c r="F59" s="14">
        <f>[845]NºAsuntos!$E$31/Población!$I$59*1000</f>
        <v>2.6530774196730946</v>
      </c>
      <c r="G59" s="14">
        <f>[845]NºAsuntos!$E$35/Población!$I$59*1000</f>
        <v>5.6203632807221853</v>
      </c>
    </row>
    <row r="60" spans="2:7" ht="20.100000000000001" customHeight="1" thickBot="1" x14ac:dyDescent="0.25">
      <c r="B60" s="9" t="s">
        <v>78</v>
      </c>
      <c r="C60" s="14">
        <f>[846]NºAsuntos!$E$61/Población!$I$60*1000</f>
        <v>263.09674555826797</v>
      </c>
      <c r="D60" s="14">
        <f>[846]NºAsuntos!$E$21/Población!$I$60*1000</f>
        <v>26.656919441797317</v>
      </c>
      <c r="E60" s="14">
        <f>[846]NºAsuntos!$E$40/Población!$I$60*1000</f>
        <v>214.31275537511584</v>
      </c>
      <c r="F60" s="14">
        <f>[846]NºAsuntos!$E$47/Población!$I$60*1000</f>
        <v>15.573802592587757</v>
      </c>
      <c r="G60" s="14">
        <f>[846]NºAsuntos!$E$54/Población!$I$60*1000</f>
        <v>6.5532681487670192</v>
      </c>
    </row>
    <row r="61" spans="2:7" ht="20.100000000000001" customHeight="1" thickBot="1" x14ac:dyDescent="0.25">
      <c r="B61" s="9" t="s">
        <v>79</v>
      </c>
      <c r="C61" s="14">
        <f>[847]NºAsuntos!$E$61/Población!$I$61*1000</f>
        <v>260.15264976958525</v>
      </c>
      <c r="D61" s="14">
        <f>[847]NºAsuntos!$E$21/Población!$I$61*1000</f>
        <v>32.114055299539174</v>
      </c>
      <c r="E61" s="14">
        <f>[847]NºAsuntos!$E$40/Población!$I$61*1000</f>
        <v>195.92453917050693</v>
      </c>
      <c r="F61" s="14">
        <f>[847]NºAsuntos!$E$47/Población!$I$61*1000</f>
        <v>22.753456221198157</v>
      </c>
      <c r="G61" s="14">
        <f>[847]NºAsuntos!$E$54/Población!$I$61*1000</f>
        <v>9.3605990783410125</v>
      </c>
    </row>
    <row r="62" spans="2:7" ht="20.100000000000001" customHeight="1" thickBot="1" x14ac:dyDescent="0.25">
      <c r="B62" s="12" t="s">
        <v>6</v>
      </c>
      <c r="C62" s="15">
        <f>[848]NºAsuntos!$E$60/Población!$S$62*1000</f>
        <v>179.55753024147575</v>
      </c>
      <c r="D62" s="15">
        <f>[848]NºAsuntos!$E$20/Población!$S$62*1000</f>
        <v>31.15895574632486</v>
      </c>
      <c r="E62" s="15">
        <f>[848]NºAsuntos!$E$39/Población!$S$62*1000</f>
        <v>135.43672426248384</v>
      </c>
      <c r="F62" s="15">
        <f>[848]NºAsuntos!$E$46/Población!$S$62*1000</f>
        <v>5.7113769238651138</v>
      </c>
      <c r="G62" s="15">
        <f>[848]NºAsuntos!$E$53/Población!$S$62*1000</f>
        <v>7.2439028558967404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7"/>
  <dimension ref="B8:G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7" ht="13.5" thickBot="1" x14ac:dyDescent="0.25"/>
    <row r="9" spans="2: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7" ht="20.100000000000001" customHeight="1" thickBot="1" x14ac:dyDescent="0.25">
      <c r="B10" s="9" t="s">
        <v>31</v>
      </c>
      <c r="C10" s="14">
        <f>[849]NºAsuntos!$E$36/Población!$H$10*1000</f>
        <v>122.03024315246945</v>
      </c>
      <c r="D10" s="14">
        <f>[849]NºAsuntos!$E$17/Población!$H$10*1000</f>
        <v>27.170856786136234</v>
      </c>
      <c r="E10" s="14">
        <f>[849]NºAsuntos!$E$28/Población!$H$10*1000</f>
        <v>85.84112800458135</v>
      </c>
      <c r="F10" s="14">
        <f>[849]NºAsuntos!$E$31/Población!$H$10*1000</f>
        <v>2.2648829638495789</v>
      </c>
      <c r="G10" s="14">
        <f>[849]NºAsuntos!$E$35/Población!$H$10*1000</f>
        <v>6.7533753979022739</v>
      </c>
    </row>
    <row r="11" spans="2:7" ht="20.100000000000001" customHeight="1" thickBot="1" x14ac:dyDescent="0.25">
      <c r="B11" s="9" t="s">
        <v>32</v>
      </c>
      <c r="C11" s="14">
        <f>[850]NºAsuntos!$E$36/Población!$H$11*1000</f>
        <v>210.81828146594864</v>
      </c>
      <c r="D11" s="14">
        <f>[850]NºAsuntos!$E$17/Población!$H$11*1000</f>
        <v>32.389805753116669</v>
      </c>
      <c r="E11" s="14">
        <f>[850]NºAsuntos!$E$28/Población!$H$11*1000</f>
        <v>170.47918342860186</v>
      </c>
      <c r="F11" s="14">
        <f>[850]NºAsuntos!$E$31/Población!$H$11*1000</f>
        <v>2.5443566360443048</v>
      </c>
      <c r="G11" s="14">
        <f>[850]NºAsuntos!$E$35/Población!$H$11*1000</f>
        <v>5.404935648185786</v>
      </c>
    </row>
    <row r="12" spans="2:7" ht="20.100000000000001" customHeight="1" thickBot="1" x14ac:dyDescent="0.25">
      <c r="B12" s="9" t="s">
        <v>33</v>
      </c>
      <c r="C12" s="14">
        <f>[851]NºAsuntos!$E$36/Población!$H$12*1000</f>
        <v>197.56860894865142</v>
      </c>
      <c r="D12" s="14">
        <f>[851]NºAsuntos!$E$17/Población!$H$12*1000</f>
        <v>28.574349296217662</v>
      </c>
      <c r="E12" s="14">
        <f>[851]NºAsuntos!$E$28/Población!$H$12*1000</f>
        <v>160.37430211527877</v>
      </c>
      <c r="F12" s="14">
        <f>[851]NºAsuntos!$E$31/Población!$H$12*1000</f>
        <v>3.0007077140835103</v>
      </c>
      <c r="G12" s="14">
        <f>[851]NºAsuntos!$E$35/Población!$H$12*1000</f>
        <v>5.6192498230714785</v>
      </c>
    </row>
    <row r="13" spans="2:7" ht="20.100000000000001" customHeight="1" thickBot="1" x14ac:dyDescent="0.25">
      <c r="B13" s="9" t="s">
        <v>34</v>
      </c>
      <c r="C13" s="14">
        <f>[852]NºAsuntos!$E$36/Población!$H$13*1000</f>
        <v>115.00168915562091</v>
      </c>
      <c r="D13" s="14">
        <f>[852]NºAsuntos!$E$17/Población!$H$13*1000</f>
        <v>27.546484900273576</v>
      </c>
      <c r="E13" s="14">
        <f>[852]NºAsuntos!$E$28/Población!$H$13*1000</f>
        <v>76.667792770413939</v>
      </c>
      <c r="F13" s="14">
        <f>[852]NºAsuntos!$E$31/Población!$H$13*1000</f>
        <v>4.5540960367772234</v>
      </c>
      <c r="G13" s="14">
        <f>[852]NºAsuntos!$E$35/Población!$H$13*1000</f>
        <v>6.233315448156171</v>
      </c>
    </row>
    <row r="14" spans="2:7" ht="20.100000000000001" customHeight="1" thickBot="1" x14ac:dyDescent="0.25">
      <c r="B14" s="9" t="s">
        <v>35</v>
      </c>
      <c r="C14" s="14">
        <f>[853]NºAsuntos!$E$36/Población!$H$14*1000</f>
        <v>139.36164680711971</v>
      </c>
      <c r="D14" s="14">
        <f>[853]NºAsuntos!$E$17/Población!$H$14*1000</f>
        <v>35.326531067066831</v>
      </c>
      <c r="E14" s="14">
        <f>[853]NºAsuntos!$E$28/Población!$H$14*1000</f>
        <v>89.964119097851594</v>
      </c>
      <c r="F14" s="14">
        <f>[853]NºAsuntos!$E$31/Población!$H$14*1000</f>
        <v>3.2194380887290883</v>
      </c>
      <c r="G14" s="14">
        <f>[853]NºAsuntos!$E$35/Población!$H$14*1000</f>
        <v>10.8515585534722</v>
      </c>
    </row>
    <row r="15" spans="2:7" ht="20.100000000000001" customHeight="1" thickBot="1" x14ac:dyDescent="0.25">
      <c r="B15" s="9" t="s">
        <v>36</v>
      </c>
      <c r="C15" s="14">
        <f>[854]NºAsuntos!$E$36/Población!$H$15*1000</f>
        <v>121.35766127590604</v>
      </c>
      <c r="D15" s="14">
        <f>[854]NºAsuntos!$E$17/Población!$H$15*1000</f>
        <v>25.593202159482299</v>
      </c>
      <c r="E15" s="14">
        <f>[854]NºAsuntos!$E$28/Población!$H$15*1000</f>
        <v>91.307249520313675</v>
      </c>
      <c r="F15" s="14">
        <f>[854]NºAsuntos!$E$31/Población!$H$15*1000</f>
        <v>2.2524401434887795</v>
      </c>
      <c r="G15" s="14">
        <f>[854]NºAsuntos!$E$35/Población!$H$15*1000</f>
        <v>2.2047694526212922</v>
      </c>
    </row>
    <row r="16" spans="2:7" ht="20.100000000000001" customHeight="1" thickBot="1" x14ac:dyDescent="0.25">
      <c r="B16" s="9" t="s">
        <v>37</v>
      </c>
      <c r="C16" s="14">
        <f>[855]NºAsuntos!$E$36/Población!$H$16*1000</f>
        <v>137.06839462250954</v>
      </c>
      <c r="D16" s="14">
        <f>[855]NºAsuntos!$E$17/Población!$H$16*1000</f>
        <v>25.545158387703164</v>
      </c>
      <c r="E16" s="14">
        <f>[855]NºAsuntos!$E$28/Población!$H$16*1000</f>
        <v>104.98697796796907</v>
      </c>
      <c r="F16" s="14">
        <f>[855]NºAsuntos!$E$31/Población!$H$16*1000</f>
        <v>2.6682544537725286</v>
      </c>
      <c r="G16" s="14">
        <f>[855]NºAsuntos!$E$35/Población!$H$16*1000</f>
        <v>3.8680038130647953</v>
      </c>
    </row>
    <row r="17" spans="2:7" ht="20.100000000000001" customHeight="1" thickBot="1" x14ac:dyDescent="0.25">
      <c r="B17" s="9" t="s">
        <v>29</v>
      </c>
      <c r="C17" s="14">
        <f>[856]NºAsuntos!$E$36/Población!$H$17*1000</f>
        <v>205.00928014448655</v>
      </c>
      <c r="D17" s="14">
        <f>[856]NºAsuntos!$E$17/Población!$H$17*1000</f>
        <v>37.325360467183849</v>
      </c>
      <c r="E17" s="14">
        <f>[856]NºAsuntos!$E$28/Población!$H$17*1000</f>
        <v>161.72225096947042</v>
      </c>
      <c r="F17" s="14">
        <f>[856]NºAsuntos!$E$31/Población!$H$17*1000</f>
        <v>1.7691211932927231</v>
      </c>
      <c r="G17" s="14">
        <f>[856]NºAsuntos!$E$35/Población!$H$17*1000</f>
        <v>4.1925475145395588</v>
      </c>
    </row>
    <row r="18" spans="2:7" ht="20.100000000000001" customHeight="1" thickBot="1" x14ac:dyDescent="0.25">
      <c r="B18" s="9" t="s">
        <v>38</v>
      </c>
      <c r="C18" s="14">
        <f>[857]NºAsuntos!$E$36/Población!$H$18*1000</f>
        <v>164.71377955039776</v>
      </c>
      <c r="D18" s="14">
        <f>[857]NºAsuntos!$E$17/Población!$H$18*1000</f>
        <v>31.083149822465952</v>
      </c>
      <c r="E18" s="14">
        <f>[857]NºAsuntos!$E$28/Población!$H$18*1000</f>
        <v>125.04266015545248</v>
      </c>
      <c r="F18" s="14">
        <f>[857]NºAsuntos!$E$31/Población!$H$18*1000</f>
        <v>1.9371289131510805</v>
      </c>
      <c r="G18" s="14">
        <f>[857]NºAsuntos!$E$35/Población!$H$18*1000</f>
        <v>6.6508406593282414</v>
      </c>
    </row>
    <row r="19" spans="2:7" ht="20.100000000000001" customHeight="1" thickBot="1" x14ac:dyDescent="0.25">
      <c r="B19" s="9" t="s">
        <v>39</v>
      </c>
      <c r="C19" s="14">
        <f>[858]NºAsuntos!$E$36/Población!$H$19*1000</f>
        <v>118.59495395499283</v>
      </c>
      <c r="D19" s="14">
        <f>[858]NºAsuntos!$E$17/Población!$H$19*1000</f>
        <v>25.874162070354068</v>
      </c>
      <c r="E19" s="14">
        <f>[858]NºAsuntos!$E$28/Población!$H$19*1000</f>
        <v>83.726728562993969</v>
      </c>
      <c r="F19" s="14">
        <f>[858]NºAsuntos!$E$31/Población!$H$19*1000</f>
        <v>1.9730441289874308</v>
      </c>
      <c r="G19" s="14">
        <f>[858]NºAsuntos!$E$35/Población!$H$19*1000</f>
        <v>7.0210191926573629</v>
      </c>
    </row>
    <row r="20" spans="2:7" ht="20.100000000000001" customHeight="1" thickBot="1" x14ac:dyDescent="0.25">
      <c r="B20" s="9" t="s">
        <v>40</v>
      </c>
      <c r="C20" s="14">
        <f>[859]NºAsuntos!$E$36/Población!$H$20*1000</f>
        <v>144.70943238593577</v>
      </c>
      <c r="D20" s="14">
        <f>[859]NºAsuntos!$E$17/Población!$H$20*1000</f>
        <v>30.977756036430193</v>
      </c>
      <c r="E20" s="14">
        <f>[859]NºAsuntos!$E$28/Población!$H$20*1000</f>
        <v>104.33831491120553</v>
      </c>
      <c r="F20" s="14">
        <f>[859]NºAsuntos!$E$31/Población!$H$20*1000</f>
        <v>2.7701896810434379</v>
      </c>
      <c r="G20" s="14">
        <f>[859]NºAsuntos!$E$35/Población!$H$20*1000</f>
        <v>6.6231717572566327</v>
      </c>
    </row>
    <row r="21" spans="2:7" ht="20.100000000000001" customHeight="1" thickBot="1" x14ac:dyDescent="0.25">
      <c r="B21" s="9" t="s">
        <v>41</v>
      </c>
      <c r="C21" s="14">
        <f>[860]NºAsuntos!$E$36/Población!$H$21*1000</f>
        <v>111.52121947498055</v>
      </c>
      <c r="D21" s="14">
        <f>[860]NºAsuntos!$E$17/Población!$H$21*1000</f>
        <v>22.940234778965316</v>
      </c>
      <c r="E21" s="14">
        <f>[860]NºAsuntos!$E$28/Población!$H$21*1000</f>
        <v>82.925848694232727</v>
      </c>
      <c r="F21" s="14">
        <f>[860]NºAsuntos!$E$31/Población!$H$21*1000</f>
        <v>2.0489272194895118</v>
      </c>
      <c r="G21" s="14">
        <f>[860]NºAsuntos!$E$35/Población!$H$21*1000</f>
        <v>3.6062087822930065</v>
      </c>
    </row>
    <row r="22" spans="2:7" ht="20.100000000000001" customHeight="1" thickBot="1" x14ac:dyDescent="0.25">
      <c r="B22" s="9" t="s">
        <v>42</v>
      </c>
      <c r="C22" s="14">
        <f>[861]NºAsuntos!$E$36/Población!$H$22*1000</f>
        <v>180.48476544769031</v>
      </c>
      <c r="D22" s="14">
        <f>[861]NºAsuntos!$E$17/Población!$H$22*1000</f>
        <v>28.752275844972875</v>
      </c>
      <c r="E22" s="14">
        <f>[861]NºAsuntos!$E$28/Población!$H$22*1000</f>
        <v>142.4490520592733</v>
      </c>
      <c r="F22" s="14">
        <f>[861]NºAsuntos!$E$31/Población!$H$22*1000</f>
        <v>4.870768854548591</v>
      </c>
      <c r="G22" s="14">
        <f>[861]NºAsuntos!$E$35/Población!$H$22*1000</f>
        <v>4.4126686888955513</v>
      </c>
    </row>
    <row r="23" spans="2:7" ht="20.100000000000001" customHeight="1" thickBot="1" x14ac:dyDescent="0.25">
      <c r="B23" s="9" t="s">
        <v>5</v>
      </c>
      <c r="C23" s="14">
        <f>[862]NºAsuntos!$E$36/Población!$H$23*1000</f>
        <v>158.64359759263922</v>
      </c>
      <c r="D23" s="14">
        <f>[862]NºAsuntos!$E$17/Población!$H$23*1000</f>
        <v>36.39205690637592</v>
      </c>
      <c r="E23" s="14">
        <f>[862]NºAsuntos!$E$28/Población!$H$23*1000</f>
        <v>112.4203692718244</v>
      </c>
      <c r="F23" s="14">
        <f>[862]NºAsuntos!$E$31/Población!$H$23*1000</f>
        <v>2.6809085164172641</v>
      </c>
      <c r="G23" s="14">
        <f>[862]NºAsuntos!$E$35/Población!$H$23*1000</f>
        <v>7.1502628980216194</v>
      </c>
    </row>
    <row r="24" spans="2:7" ht="20.100000000000001" customHeight="1" thickBot="1" x14ac:dyDescent="0.25">
      <c r="B24" s="9" t="s">
        <v>43</v>
      </c>
      <c r="C24" s="14">
        <f>[863]NºAsuntos!$E$36/Población!$H$24*1000</f>
        <v>167.63761676858516</v>
      </c>
      <c r="D24" s="14">
        <f>[863]NºAsuntos!$E$17/Población!$H$24*1000</f>
        <v>28.603278899387419</v>
      </c>
      <c r="E24" s="14">
        <f>[863]NºAsuntos!$E$28/Población!$H$24*1000</f>
        <v>131.31854487897513</v>
      </c>
      <c r="F24" s="14">
        <f>[863]NºAsuntos!$E$31/Población!$H$24*1000</f>
        <v>2.2563201080461126</v>
      </c>
      <c r="G24" s="14">
        <f>[863]NºAsuntos!$E$35/Población!$H$24*1000</f>
        <v>5.4594728821765006</v>
      </c>
    </row>
    <row r="25" spans="2:7" ht="20.100000000000001" customHeight="1" thickBot="1" x14ac:dyDescent="0.25">
      <c r="B25" s="9" t="s">
        <v>44</v>
      </c>
      <c r="C25" s="14">
        <f>[864]NºAsuntos!$E$36/Población!$H$25*1000</f>
        <v>130.65437671643676</v>
      </c>
      <c r="D25" s="14">
        <f>[864]NºAsuntos!$E$17/Población!$H$25*1000</f>
        <v>23.189652451150604</v>
      </c>
      <c r="E25" s="14">
        <f>[864]NºAsuntos!$E$28/Población!$H$25*1000</f>
        <v>100.55162726096152</v>
      </c>
      <c r="F25" s="14">
        <f>[864]NºAsuntos!$E$31/Población!$H$25*1000</f>
        <v>1.1778307396066794</v>
      </c>
      <c r="G25" s="14">
        <f>[864]NºAsuntos!$E$35/Población!$H$25*1000</f>
        <v>5.7352662647179518</v>
      </c>
    </row>
    <row r="26" spans="2:7" ht="20.100000000000001" customHeight="1" thickBot="1" x14ac:dyDescent="0.25">
      <c r="B26" s="9" t="s">
        <v>45</v>
      </c>
      <c r="C26" s="14">
        <f>[865]NºAsuntos!$E$36/Población!$H$26*1000</f>
        <v>160.13076455656378</v>
      </c>
      <c r="D26" s="14">
        <f>[865]NºAsuntos!$E$17/Población!$H$26*1000</f>
        <v>26.74152941758522</v>
      </c>
      <c r="E26" s="14">
        <f>[865]NºAsuntos!$E$28/Población!$H$26*1000</f>
        <v>124.06648847437545</v>
      </c>
      <c r="F26" s="14">
        <f>[865]NºAsuntos!$E$31/Población!$H$26*1000</f>
        <v>4.186292555883834</v>
      </c>
      <c r="G26" s="14">
        <f>[865]NºAsuntos!$E$35/Población!$H$26*1000</f>
        <v>5.1364541087192865</v>
      </c>
    </row>
    <row r="27" spans="2:7" ht="20.100000000000001" customHeight="1" thickBot="1" x14ac:dyDescent="0.25">
      <c r="B27" s="9" t="s">
        <v>46</v>
      </c>
      <c r="C27" s="14">
        <f>[866]NºAsuntos!$E$36/Población!$H$27*1000</f>
        <v>147.33855204974401</v>
      </c>
      <c r="D27" s="14">
        <f>[866]NºAsuntos!$E$17/Población!$H$27*1000</f>
        <v>29.832412426791695</v>
      </c>
      <c r="E27" s="14">
        <f>[866]NºAsuntos!$E$28/Población!$H$27*1000</f>
        <v>107.37188712481435</v>
      </c>
      <c r="F27" s="14">
        <f>[866]NºAsuntos!$E$31/Población!$H$27*1000</f>
        <v>3.1563817096359092</v>
      </c>
      <c r="G27" s="14">
        <f>[866]NºAsuntos!$E$35/Población!$H$27*1000</f>
        <v>6.9778707885020559</v>
      </c>
    </row>
    <row r="28" spans="2:7" ht="20.100000000000001" customHeight="1" thickBot="1" x14ac:dyDescent="0.25">
      <c r="B28" s="9" t="s">
        <v>47</v>
      </c>
      <c r="C28" s="14">
        <f>[867]NºAsuntos!$E$36/Población!$H$28*1000</f>
        <v>117.32081911262799</v>
      </c>
      <c r="D28" s="14">
        <f>[867]NºAsuntos!$E$17/Población!$H$28*1000</f>
        <v>19.29861563830195</v>
      </c>
      <c r="E28" s="14">
        <f>[867]NºAsuntos!$E$28/Población!$H$28*1000</f>
        <v>91.191471411588765</v>
      </c>
      <c r="F28" s="14">
        <f>[867]NºAsuntos!$E$31/Población!$H$28*1000</f>
        <v>2.9000651915481077</v>
      </c>
      <c r="G28" s="14">
        <f>[867]NºAsuntos!$E$35/Población!$H$28*1000</f>
        <v>3.9306668711891706</v>
      </c>
    </row>
    <row r="29" spans="2:7" ht="20.100000000000001" customHeight="1" thickBot="1" x14ac:dyDescent="0.25">
      <c r="B29" s="9" t="s">
        <v>48</v>
      </c>
      <c r="C29" s="14">
        <f>[868]NºAsuntos!$E$36/Población!$H$10*1000</f>
        <v>185.91903172383905</v>
      </c>
      <c r="D29" s="14">
        <f>[868]NºAsuntos!$E$17/Población!$H$10*1000</f>
        <v>38.631990053088032</v>
      </c>
      <c r="E29" s="14">
        <f>[868]NºAsuntos!$E$28/Población!$H$10*1000</f>
        <v>135.49056126792172</v>
      </c>
      <c r="F29" s="14">
        <f>[868]NºAsuntos!$E$31/Población!$H$10*1000</f>
        <v>2.8375526881942332</v>
      </c>
      <c r="G29" s="14">
        <f>[868]NºAsuntos!$E$35/Población!$H$10*1000</f>
        <v>8.958927714635065</v>
      </c>
    </row>
    <row r="30" spans="2:7" ht="20.100000000000001" customHeight="1" thickBot="1" x14ac:dyDescent="0.25">
      <c r="B30" s="9" t="s">
        <v>49</v>
      </c>
      <c r="C30" s="14">
        <f>[869]NºAsuntos!$E$36/Población!$H$30*1000</f>
        <v>162.87494671417411</v>
      </c>
      <c r="D30" s="14">
        <f>[869]NºAsuntos!$E$17/Población!$H$30*1000</f>
        <v>29.38031312424436</v>
      </c>
      <c r="E30" s="14">
        <f>[869]NºAsuntos!$E$28/Población!$H$30*1000</f>
        <v>127.3956798107462</v>
      </c>
      <c r="F30" s="14">
        <f>[869]NºAsuntos!$E$31/Población!$H$30*1000</f>
        <v>2.1066996832675957</v>
      </c>
      <c r="G30" s="14">
        <f>[869]NºAsuntos!$E$35/Población!$H$30*1000</f>
        <v>3.9922540959159418</v>
      </c>
    </row>
    <row r="31" spans="2:7" ht="20.100000000000001" customHeight="1" thickBot="1" x14ac:dyDescent="0.25">
      <c r="B31" s="9" t="s">
        <v>50</v>
      </c>
      <c r="C31" s="14">
        <f>[870]NºAsuntos!$E$36/Población!$H$31*1000</f>
        <v>249.31521232983025</v>
      </c>
      <c r="D31" s="14">
        <f>[870]NºAsuntos!$E$17/Población!$H$31*1000</f>
        <v>34.324981967258019</v>
      </c>
      <c r="E31" s="14">
        <f>[870]NºAsuntos!$E$28/Población!$H$31*1000</f>
        <v>201.85372022314948</v>
      </c>
      <c r="F31" s="14">
        <f>[870]NºAsuntos!$E$31/Población!$H$31*1000</f>
        <v>5.4474859162002502</v>
      </c>
      <c r="G31" s="14">
        <f>[870]NºAsuntos!$E$35/Población!$H$31*1000</f>
        <v>7.6890242232225194</v>
      </c>
    </row>
    <row r="32" spans="2:7" ht="20.100000000000001" customHeight="1" thickBot="1" x14ac:dyDescent="0.25">
      <c r="B32" s="9" t="s">
        <v>51</v>
      </c>
      <c r="C32" s="14">
        <f>[871]NºAsuntos!$E$36/Población!$H$32*1000</f>
        <v>142.77885763799441</v>
      </c>
      <c r="D32" s="14">
        <f>[871]NºAsuntos!$E$17/Población!$H$32*1000</f>
        <v>24.678578955996347</v>
      </c>
      <c r="E32" s="14">
        <f>[871]NºAsuntos!$E$28/Población!$H$32*1000</f>
        <v>108.24102480035597</v>
      </c>
      <c r="F32" s="14">
        <f>[871]NºAsuntos!$E$31/Población!$H$32*1000</f>
        <v>2.7259314770145897</v>
      </c>
      <c r="G32" s="14">
        <f>[871]NºAsuntos!$E$35/Población!$H$32*1000</f>
        <v>7.1333224046275259</v>
      </c>
    </row>
    <row r="33" spans="2:7" ht="20.100000000000001" customHeight="1" thickBot="1" x14ac:dyDescent="0.25">
      <c r="B33" s="9" t="s">
        <v>52</v>
      </c>
      <c r="C33" s="14">
        <f>[872]NºAsuntos!$E$36/Población!$H$33*1000</f>
        <v>172.62594123216584</v>
      </c>
      <c r="D33" s="14">
        <f>[872]NºAsuntos!$E$17/Población!$H$33*1000</f>
        <v>27.256620626038757</v>
      </c>
      <c r="E33" s="14">
        <f>[872]NºAsuntos!$E$28/Población!$H$33*1000</f>
        <v>135.72842124939555</v>
      </c>
      <c r="F33" s="14">
        <f>[872]NºAsuntos!$E$31/Población!$H$33*1000</f>
        <v>5.0815362046755821</v>
      </c>
      <c r="G33" s="14">
        <f>[872]NºAsuntos!$E$35/Población!$H$33*1000</f>
        <v>4.5593631520559805</v>
      </c>
    </row>
    <row r="34" spans="2:7" ht="20.100000000000001" customHeight="1" thickBot="1" x14ac:dyDescent="0.25">
      <c r="B34" s="9" t="s">
        <v>53</v>
      </c>
      <c r="C34" s="14">
        <f>[873]NºAsuntos!$E$36/Población!$H$34*1000</f>
        <v>110.01591575200781</v>
      </c>
      <c r="D34" s="14">
        <f>[873]NºAsuntos!$E$17/Población!$H$34*1000</f>
        <v>24.625842227654879</v>
      </c>
      <c r="E34" s="14">
        <f>[873]NºAsuntos!$E$28/Población!$H$34*1000</f>
        <v>79.592520055223531</v>
      </c>
      <c r="F34" s="14">
        <f>[873]NºAsuntos!$E$31/Población!$H$34*1000</f>
        <v>2.6556831160015228</v>
      </c>
      <c r="G34" s="14">
        <f>[873]NºAsuntos!$E$35/Población!$H$34*1000</f>
        <v>3.1418703531278807</v>
      </c>
    </row>
    <row r="35" spans="2:7" ht="20.100000000000001" customHeight="1" thickBot="1" x14ac:dyDescent="0.25">
      <c r="B35" s="9" t="s">
        <v>54</v>
      </c>
      <c r="C35" s="14">
        <f>[874]NºAsuntos!$E$36/Población!$H$35*1000</f>
        <v>122.5663937134761</v>
      </c>
      <c r="D35" s="14">
        <f>[874]NºAsuntos!$E$17/Población!$H$35*1000</f>
        <v>26.263257241407405</v>
      </c>
      <c r="E35" s="14">
        <f>[874]NºAsuntos!$E$28/Población!$H$35*1000</f>
        <v>89.424233233899315</v>
      </c>
      <c r="F35" s="14">
        <f>[874]NºAsuntos!$E$31/Población!$H$35*1000</f>
        <v>3.0599727499468128</v>
      </c>
      <c r="G35" s="14">
        <f>[874]NºAsuntos!$E$35/Población!$H$35*1000</f>
        <v>3.8189304882225752</v>
      </c>
    </row>
    <row r="36" spans="2:7" ht="20.100000000000001" customHeight="1" thickBot="1" x14ac:dyDescent="0.25">
      <c r="B36" s="9" t="s">
        <v>55</v>
      </c>
      <c r="C36" s="14">
        <f>[875]NºAsuntos!$E$36/Población!$H$36*1000</f>
        <v>144.3871519379876</v>
      </c>
      <c r="D36" s="14">
        <f>[875]NºAsuntos!$E$17/Población!$H$36*1000</f>
        <v>32.985229505663128</v>
      </c>
      <c r="E36" s="14">
        <f>[875]NºAsuntos!$E$28/Población!$H$36*1000</f>
        <v>100.76210853372886</v>
      </c>
      <c r="F36" s="14">
        <f>[875]NºAsuntos!$E$31/Población!$H$36*1000</f>
        <v>2.2640464209801636</v>
      </c>
      <c r="G36" s="14">
        <f>[875]NºAsuntos!$E$35/Población!$H$36*1000</f>
        <v>8.3757674776154438</v>
      </c>
    </row>
    <row r="37" spans="2:7" ht="20.100000000000001" customHeight="1" thickBot="1" x14ac:dyDescent="0.25">
      <c r="B37" s="9" t="s">
        <v>56</v>
      </c>
      <c r="C37" s="14">
        <f>[876]NºAsuntos!$E$36/Población!$H$37*1000</f>
        <v>124.84294324361467</v>
      </c>
      <c r="D37" s="14">
        <f>[876]NºAsuntos!$E$17/Población!$H$37*1000</f>
        <v>27.614994993815891</v>
      </c>
      <c r="E37" s="14">
        <f>[876]NºAsuntos!$E$28/Población!$H$37*1000</f>
        <v>91.964092899071403</v>
      </c>
      <c r="F37" s="14">
        <f>[876]NºAsuntos!$E$31/Población!$H$37*1000</f>
        <v>1.6343718711349315</v>
      </c>
      <c r="G37" s="14">
        <f>[876]NºAsuntos!$E$35/Población!$H$37*1000</f>
        <v>3.6294834795924378</v>
      </c>
    </row>
    <row r="38" spans="2:7" ht="20.100000000000001" customHeight="1" thickBot="1" x14ac:dyDescent="0.25">
      <c r="B38" s="9" t="s">
        <v>57</v>
      </c>
      <c r="C38" s="14">
        <f>[877]NºAsuntos!$E$36/Población!$H$38*1000</f>
        <v>108.79288829063783</v>
      </c>
      <c r="D38" s="14">
        <f>[877]NºAsuntos!$E$17/Población!$H$38*1000</f>
        <v>28.415990128857665</v>
      </c>
      <c r="E38" s="14">
        <f>[877]NºAsuntos!$E$28/Población!$H$38*1000</f>
        <v>70.620732203199708</v>
      </c>
      <c r="F38" s="14">
        <f>[877]NºAsuntos!$E$31/Población!$H$38*1000</f>
        <v>2.6051963712334723</v>
      </c>
      <c r="G38" s="14">
        <f>[877]NºAsuntos!$E$35/Población!$H$38*1000</f>
        <v>7.1509695873469905</v>
      </c>
    </row>
    <row r="39" spans="2:7" ht="20.100000000000001" customHeight="1" thickBot="1" x14ac:dyDescent="0.25">
      <c r="B39" s="9" t="s">
        <v>58</v>
      </c>
      <c r="C39" s="14">
        <f>[878]NºAsuntos!$E$36/Población!$H$39*1000</f>
        <v>195.8825155625253</v>
      </c>
      <c r="D39" s="14">
        <f>[878]NºAsuntos!$E$17/Población!$H$39*1000</f>
        <v>30.499071016978011</v>
      </c>
      <c r="E39" s="14">
        <f>[878]NºAsuntos!$E$28/Población!$H$39*1000</f>
        <v>154.01128760558726</v>
      </c>
      <c r="F39" s="14">
        <f>[878]NºAsuntos!$E$31/Población!$H$39*1000</f>
        <v>4.9614001437705877</v>
      </c>
      <c r="G39" s="14">
        <f>[878]NºAsuntos!$E$35/Población!$H$39*1000</f>
        <v>6.4107567961894638</v>
      </c>
    </row>
    <row r="40" spans="2:7" ht="20.100000000000001" customHeight="1" thickBot="1" x14ac:dyDescent="0.25">
      <c r="B40" s="9" t="s">
        <v>59</v>
      </c>
      <c r="C40" s="14">
        <f>[879]NºAsuntos!$E$36/Población!$H$40*1000</f>
        <v>285.0081842059912</v>
      </c>
      <c r="D40" s="14">
        <f>[879]NºAsuntos!$E$17/Población!$H$40*1000</f>
        <v>37.239646023870655</v>
      </c>
      <c r="E40" s="14">
        <f>[879]NºAsuntos!$E$28/Población!$H$40*1000</f>
        <v>233.11743480631159</v>
      </c>
      <c r="F40" s="14">
        <f>[879]NºAsuntos!$E$31/Población!$H$40*1000</f>
        <v>5.905637211348318</v>
      </c>
      <c r="G40" s="14">
        <f>[879]NºAsuntos!$E$35/Población!$H$40*1000</f>
        <v>8.7454661644606286</v>
      </c>
    </row>
    <row r="41" spans="2:7" ht="20.100000000000001" customHeight="1" thickBot="1" x14ac:dyDescent="0.25">
      <c r="B41" s="9" t="s">
        <v>60</v>
      </c>
      <c r="C41" s="14">
        <f>[880]NºAsuntos!$E$36/Población!$H$41*1000</f>
        <v>171.24277351190173</v>
      </c>
      <c r="D41" s="14">
        <f>[880]NºAsuntos!$E$17/Población!$H$41*1000</f>
        <v>28.975279973962021</v>
      </c>
      <c r="E41" s="14">
        <f>[880]NºAsuntos!$E$28/Población!$H$41*1000</f>
        <v>130.59637774336537</v>
      </c>
      <c r="F41" s="14">
        <f>[880]NºAsuntos!$E$31/Población!$H$41*1000</f>
        <v>4.8704449954973565</v>
      </c>
      <c r="G41" s="14">
        <f>[880]NºAsuntos!$E$35/Población!$H$41*1000</f>
        <v>6.800670799076995</v>
      </c>
    </row>
    <row r="42" spans="2:7" ht="20.100000000000001" customHeight="1" thickBot="1" x14ac:dyDescent="0.25">
      <c r="B42" s="9" t="s">
        <v>61</v>
      </c>
      <c r="C42" s="14">
        <f>[881]NºAsuntos!$E$36/Población!$H$42*1000</f>
        <v>127.87061743820135</v>
      </c>
      <c r="D42" s="14">
        <f>[881]NºAsuntos!$E$17/Población!$H$42*1000</f>
        <v>23.084565872591273</v>
      </c>
      <c r="E42" s="14">
        <f>[881]NºAsuntos!$E$28/Población!$H$42*1000</f>
        <v>98.077006150789046</v>
      </c>
      <c r="F42" s="14">
        <f>[881]NºAsuntos!$E$31/Población!$H$42*1000</f>
        <v>2.3044690416931122</v>
      </c>
      <c r="G42" s="14">
        <f>[881]NºAsuntos!$E$35/Población!$H$42*1000</f>
        <v>4.4045763731279308</v>
      </c>
    </row>
    <row r="43" spans="2:7" ht="20.100000000000001" customHeight="1" thickBot="1" x14ac:dyDescent="0.25">
      <c r="B43" s="9" t="s">
        <v>62</v>
      </c>
      <c r="C43" s="14">
        <f>[882]NºAsuntos!$E$36/Población!$H$43*1000</f>
        <v>121.35080948767387</v>
      </c>
      <c r="D43" s="14">
        <f>[882]NºAsuntos!$E$17/Población!$H$43*1000</f>
        <v>25.425855771530482</v>
      </c>
      <c r="E43" s="14">
        <f>[882]NºAsuntos!$E$28/Población!$H$43*1000</f>
        <v>85.11800537985242</v>
      </c>
      <c r="F43" s="14">
        <f>[882]NºAsuntos!$E$31/Población!$H$43*1000</f>
        <v>2.6013446678339744</v>
      </c>
      <c r="G43" s="14">
        <f>[882]NºAsuntos!$E$35/Población!$H$43*1000</f>
        <v>8.2056036684569982</v>
      </c>
    </row>
    <row r="44" spans="2:7" ht="20.100000000000001" customHeight="1" thickBot="1" x14ac:dyDescent="0.25">
      <c r="B44" s="9" t="s">
        <v>63</v>
      </c>
      <c r="C44" s="14">
        <f>[883]NºAsuntos!$E$36/Población!$H$44*1000</f>
        <v>132.12592331637339</v>
      </c>
      <c r="D44" s="14">
        <f>[883]NºAsuntos!$E$17/Población!$H$44*1000</f>
        <v>31.804242490745178</v>
      </c>
      <c r="E44" s="14">
        <f>[883]NºAsuntos!$E$28/Población!$H$44*1000</f>
        <v>91.739675316049969</v>
      </c>
      <c r="F44" s="14">
        <f>[883]NºAsuntos!$E$31/Población!$H$44*1000</f>
        <v>2.6508348108320385</v>
      </c>
      <c r="G44" s="14">
        <f>[883]NºAsuntos!$E$35/Población!$H$44*1000</f>
        <v>5.9311706987461958</v>
      </c>
    </row>
    <row r="45" spans="2:7" ht="20.100000000000001" customHeight="1" thickBot="1" x14ac:dyDescent="0.25">
      <c r="B45" s="9" t="s">
        <v>64</v>
      </c>
      <c r="C45" s="14">
        <f>[884]NºAsuntos!$E$36/Población!$H$45*1000</f>
        <v>202.72294290294926</v>
      </c>
      <c r="D45" s="14">
        <f>[884]NºAsuntos!$E$17/Población!$H$45*1000</f>
        <v>41.69945693458024</v>
      </c>
      <c r="E45" s="14">
        <f>[884]NºAsuntos!$E$28/Población!$H$45*1000</f>
        <v>146.65207296330939</v>
      </c>
      <c r="F45" s="14">
        <f>[884]NºAsuntos!$E$31/Población!$H$45*1000</f>
        <v>3.2679610930045908</v>
      </c>
      <c r="G45" s="14">
        <f>[884]NºAsuntos!$E$35/Población!$H$45*1000</f>
        <v>11.103451912055037</v>
      </c>
    </row>
    <row r="46" spans="2:7" ht="20.100000000000001" customHeight="1" thickBot="1" x14ac:dyDescent="0.25">
      <c r="B46" s="9" t="s">
        <v>65</v>
      </c>
      <c r="C46" s="14">
        <f>[885]NºAsuntos!$E$36/Población!$H$46*1000</f>
        <v>163.90649304381111</v>
      </c>
      <c r="D46" s="14">
        <f>[885]NºAsuntos!$E$17/Población!$H$46*1000</f>
        <v>34.995658014859238</v>
      </c>
      <c r="E46" s="14">
        <f>[885]NºAsuntos!$E$28/Población!$H$46*1000</f>
        <v>119.32559799049322</v>
      </c>
      <c r="F46" s="14">
        <f>[885]NºAsuntos!$E$31/Población!$H$46*1000</f>
        <v>2.27543348280224</v>
      </c>
      <c r="G46" s="14">
        <f>[885]NºAsuntos!$E$35/Población!$H$46*1000</f>
        <v>7.3098035556564032</v>
      </c>
    </row>
    <row r="47" spans="2:7" ht="20.100000000000001" customHeight="1" thickBot="1" x14ac:dyDescent="0.25">
      <c r="B47" s="9" t="s">
        <v>30</v>
      </c>
      <c r="C47" s="14">
        <f>[886]NºAsuntos!$E$36/Población!$H$47*1000</f>
        <v>116.90172565172973</v>
      </c>
      <c r="D47" s="14">
        <f>[886]NºAsuntos!$E$17/Población!$H$47*1000</f>
        <v>29.950028885980345</v>
      </c>
      <c r="E47" s="14">
        <f>[886]NºAsuntos!$E$28/Población!$H$47*1000</f>
        <v>76.728997281127505</v>
      </c>
      <c r="F47" s="14">
        <f>[886]NºAsuntos!$E$31/Población!$H$47*1000</f>
        <v>2.6731771640821602</v>
      </c>
      <c r="G47" s="14">
        <f>[886]NºAsuntos!$E$35/Población!$H$47*1000</f>
        <v>7.5495223205397268</v>
      </c>
    </row>
    <row r="48" spans="2:7" ht="20.100000000000001" customHeight="1" thickBot="1" x14ac:dyDescent="0.25">
      <c r="B48" s="9" t="s">
        <v>66</v>
      </c>
      <c r="C48" s="14">
        <f>[887]NºAsuntos!$E$36/Población!$H$48*1000</f>
        <v>132.76316162102461</v>
      </c>
      <c r="D48" s="14">
        <f>[887]NºAsuntos!$E$17/Población!$H$48*1000</f>
        <v>27.348418339894085</v>
      </c>
      <c r="E48" s="14">
        <f>[887]NºAsuntos!$E$28/Población!$H$48*1000</f>
        <v>97.122709637223522</v>
      </c>
      <c r="F48" s="14">
        <f>[887]NºAsuntos!$E$31/Población!$H$48*1000</f>
        <v>2.8886182775905525</v>
      </c>
      <c r="G48" s="14">
        <f>[887]NºAsuntos!$E$35/Población!$H$48*1000</f>
        <v>5.4034153663164446</v>
      </c>
    </row>
    <row r="49" spans="2:7" ht="20.100000000000001" customHeight="1" thickBot="1" x14ac:dyDescent="0.25">
      <c r="B49" s="9" t="s">
        <v>67</v>
      </c>
      <c r="C49" s="14">
        <f>[888]NºAsuntos!$E$36/Población!$H$49*1000</f>
        <v>177.56139832675856</v>
      </c>
      <c r="D49" s="14">
        <f>[888]NºAsuntos!$E$17/Población!$H$49*1000</f>
        <v>36.590449000511505</v>
      </c>
      <c r="E49" s="14">
        <f>[888]NºAsuntos!$E$28/Población!$H$49*1000</f>
        <v>133.03493964371836</v>
      </c>
      <c r="F49" s="14">
        <f>[888]NºAsuntos!$E$31/Población!$H$49*1000</f>
        <v>2.0727692258608323</v>
      </c>
      <c r="G49" s="14">
        <f>[888]NºAsuntos!$E$35/Población!$H$49*1000</f>
        <v>5.8632404566679055</v>
      </c>
    </row>
    <row r="50" spans="2:7" ht="20.100000000000001" customHeight="1" thickBot="1" x14ac:dyDescent="0.25">
      <c r="B50" s="9" t="s">
        <v>68</v>
      </c>
      <c r="C50" s="14">
        <f>[889]NºAsuntos!$E$36/Población!$H$50*1000</f>
        <v>130.32094918198189</v>
      </c>
      <c r="D50" s="14">
        <f>[889]NºAsuntos!$E$17/Población!$H$50*1000</f>
        <v>29.170232059157843</v>
      </c>
      <c r="E50" s="14">
        <f>[889]NºAsuntos!$E$28/Población!$H$50*1000</f>
        <v>95.26941595678106</v>
      </c>
      <c r="F50" s="14">
        <f>[889]NºAsuntos!$E$31/Población!$H$50*1000</f>
        <v>2.3435803777826028</v>
      </c>
      <c r="G50" s="14">
        <f>[889]NºAsuntos!$E$35/Población!$H$50*1000</f>
        <v>3.5377207882603865</v>
      </c>
    </row>
    <row r="51" spans="2:7" ht="20.100000000000001" customHeight="1" thickBot="1" x14ac:dyDescent="0.25">
      <c r="B51" s="9" t="s">
        <v>69</v>
      </c>
      <c r="C51" s="14">
        <f>[890]NºAsuntos!$E$36/Población!$H$51*1000</f>
        <v>210.1781015183559</v>
      </c>
      <c r="D51" s="14">
        <f>[890]NºAsuntos!$E$17/Población!$H$51*1000</f>
        <v>30.274478945570134</v>
      </c>
      <c r="E51" s="14">
        <f>[890]NºAsuntos!$E$28/Población!$H$51*1000</f>
        <v>168.21691950800974</v>
      </c>
      <c r="F51" s="14">
        <f>[890]NºAsuntos!$E$31/Población!$H$51*1000</f>
        <v>6.656396434591028</v>
      </c>
      <c r="G51" s="14">
        <f>[890]NºAsuntos!$E$35/Población!$H$51*1000</f>
        <v>5.0303066301850006</v>
      </c>
    </row>
    <row r="52" spans="2:7" ht="20.100000000000001" customHeight="1" thickBot="1" x14ac:dyDescent="0.25">
      <c r="B52" s="9" t="s">
        <v>70</v>
      </c>
      <c r="C52" s="14">
        <f>[891]NºAsuntos!$E$36/Población!$H$52*1000</f>
        <v>122.52013304385956</v>
      </c>
      <c r="D52" s="14">
        <f>[891]NºAsuntos!$E$17/Población!$H$52*1000</f>
        <v>32.843865972214793</v>
      </c>
      <c r="E52" s="14">
        <f>[891]NºAsuntos!$E$28/Población!$H$52*1000</f>
        <v>81.120391859084734</v>
      </c>
      <c r="F52" s="14">
        <f>[891]NºAsuntos!$E$31/Población!$H$52*1000</f>
        <v>2.6309316278622075</v>
      </c>
      <c r="G52" s="14">
        <f>[891]NºAsuntos!$E$35/Población!$H$52*1000</f>
        <v>5.9249435846978171</v>
      </c>
    </row>
    <row r="53" spans="2:7" ht="20.100000000000001" customHeight="1" thickBot="1" x14ac:dyDescent="0.25">
      <c r="B53" s="9" t="s">
        <v>71</v>
      </c>
      <c r="C53" s="14">
        <f>[892]NºAsuntos!$E$36/Población!$H$53*1000</f>
        <v>192.19238130179914</v>
      </c>
      <c r="D53" s="14">
        <f>[892]NºAsuntos!$E$17/Población!$H$53*1000</f>
        <v>32.668187157239345</v>
      </c>
      <c r="E53" s="14">
        <f>[892]NºAsuntos!$E$28/Población!$H$53*1000</f>
        <v>154.21114740453353</v>
      </c>
      <c r="F53" s="14">
        <f>[892]NºAsuntos!$E$31/Población!$H$53*1000</f>
        <v>1.3881549586154591</v>
      </c>
      <c r="G53" s="14">
        <f>[892]NºAsuntos!$E$35/Población!$H$53*1000</f>
        <v>3.9248917814107709</v>
      </c>
    </row>
    <row r="54" spans="2:7" ht="20.100000000000001" customHeight="1" thickBot="1" x14ac:dyDescent="0.25">
      <c r="B54" s="9" t="s">
        <v>72</v>
      </c>
      <c r="C54" s="14">
        <f>[893]NºAsuntos!$E$36/Población!$H$54*1000</f>
        <v>83.455261676983682</v>
      </c>
      <c r="D54" s="14">
        <f>[893]NºAsuntos!$E$17/Población!$H$54*1000</f>
        <v>15.559932470455824</v>
      </c>
      <c r="E54" s="14">
        <f>[893]NºAsuntos!$E$28/Población!$H$54*1000</f>
        <v>63.716938660664042</v>
      </c>
      <c r="F54" s="14">
        <f>[893]NºAsuntos!$E$31/Población!$H$54*1000</f>
        <v>1.3576252110298255</v>
      </c>
      <c r="G54" s="14">
        <f>[893]NºAsuntos!$E$35/Población!$H$54*1000</f>
        <v>2.8207653348339896</v>
      </c>
    </row>
    <row r="55" spans="2:7" ht="20.100000000000001" customHeight="1" thickBot="1" x14ac:dyDescent="0.25">
      <c r="B55" s="9" t="s">
        <v>73</v>
      </c>
      <c r="C55" s="14">
        <f>[894]NºAsuntos!$E$36/Población!$H$55*1000</f>
        <v>119.21841141746992</v>
      </c>
      <c r="D55" s="14">
        <f>[894]NºAsuntos!$E$17/Población!$H$55*1000</f>
        <v>22.793355619881162</v>
      </c>
      <c r="E55" s="14">
        <f>[894]NºAsuntos!$E$28/Población!$H$55*1000</f>
        <v>90.437576549093762</v>
      </c>
      <c r="F55" s="14">
        <f>[894]NºAsuntos!$E$31/Población!$H$55*1000</f>
        <v>2.001241029339623</v>
      </c>
      <c r="G55" s="14">
        <f>[894]NºAsuntos!$E$35/Población!$H$55*1000</f>
        <v>3.9862382191553851</v>
      </c>
    </row>
    <row r="56" spans="2:7" ht="20.100000000000001" customHeight="1" thickBot="1" x14ac:dyDescent="0.25">
      <c r="B56" s="9" t="s">
        <v>74</v>
      </c>
      <c r="C56" s="14">
        <f>[895]NºAsuntos!$E$36/Población!$H$56*1000</f>
        <v>201.16845646519391</v>
      </c>
      <c r="D56" s="14">
        <f>[895]NºAsuntos!$E$17/Población!$H$56*1000</f>
        <v>34.463092914735888</v>
      </c>
      <c r="E56" s="14">
        <f>[895]NºAsuntos!$E$28/Población!$H$56*1000</f>
        <v>156.7166965958649</v>
      </c>
      <c r="F56" s="14">
        <f>[895]NºAsuntos!$E$31/Población!$H$56*1000</f>
        <v>3.3203549938463839</v>
      </c>
      <c r="G56" s="14">
        <f>[895]NºAsuntos!$E$35/Población!$H$56*1000</f>
        <v>6.6683119607467463</v>
      </c>
    </row>
    <row r="57" spans="2:7" ht="20.100000000000001" customHeight="1" thickBot="1" x14ac:dyDescent="0.25">
      <c r="B57" s="9" t="s">
        <v>75</v>
      </c>
      <c r="C57" s="14">
        <f>[896]NºAsuntos!$E$36/Población!$H$57*1000</f>
        <v>138.20151796151751</v>
      </c>
      <c r="D57" s="14">
        <f>[896]NºAsuntos!$E$17/Población!$H$57*1000</f>
        <v>32.304347239956172</v>
      </c>
      <c r="E57" s="14">
        <f>[896]NºAsuntos!$E$28/Población!$H$57*1000</f>
        <v>96.29869291996711</v>
      </c>
      <c r="F57" s="14">
        <f>[896]NºAsuntos!$E$31/Población!$H$57*1000</f>
        <v>3.3837330452249303</v>
      </c>
      <c r="G57" s="14">
        <f>[896]NºAsuntos!$E$35/Población!$H$57*1000</f>
        <v>6.2147447563692948</v>
      </c>
    </row>
    <row r="58" spans="2:7" ht="20.100000000000001" customHeight="1" thickBot="1" x14ac:dyDescent="0.25">
      <c r="B58" s="9" t="s">
        <v>76</v>
      </c>
      <c r="C58" s="14">
        <f>[897]NºAsuntos!$E$36/Población!$H$58*1000</f>
        <v>101.3965122637879</v>
      </c>
      <c r="D58" s="14">
        <f>[897]NºAsuntos!$E$17/Población!$H$58*1000</f>
        <v>27.175784335568022</v>
      </c>
      <c r="E58" s="14">
        <f>[897]NºAsuntos!$E$28/Población!$H$58*1000</f>
        <v>67.97237356449881</v>
      </c>
      <c r="F58" s="14">
        <f>[897]NºAsuntos!$E$31/Población!$H$58*1000</f>
        <v>1.6709537601523099</v>
      </c>
      <c r="G58" s="14">
        <f>[897]NºAsuntos!$E$35/Población!$H$58*1000</f>
        <v>4.5774006035687522</v>
      </c>
    </row>
    <row r="59" spans="2:7" ht="20.100000000000001" customHeight="1" thickBot="1" x14ac:dyDescent="0.25">
      <c r="B59" s="9" t="s">
        <v>77</v>
      </c>
      <c r="C59" s="14">
        <f>[898]NºAsuntos!$E$36/Población!$H$59*1000</f>
        <v>155.58145315320814</v>
      </c>
      <c r="D59" s="14">
        <f>[898]NºAsuntos!$E$17/Población!$H$59*1000</f>
        <v>30.617428768282153</v>
      </c>
      <c r="E59" s="14">
        <f>[898]NºAsuntos!$E$28/Población!$H$59*1000</f>
        <v>116.4770497379231</v>
      </c>
      <c r="F59" s="14">
        <f>[898]NºAsuntos!$E$31/Población!$H$59*1000</f>
        <v>3.3032155658855231</v>
      </c>
      <c r="G59" s="14">
        <f>[898]NºAsuntos!$E$35/Población!$H$59*1000</f>
        <v>5.1837590811173806</v>
      </c>
    </row>
    <row r="60" spans="2:7" ht="20.100000000000001" customHeight="1" thickBot="1" x14ac:dyDescent="0.25">
      <c r="B60" s="9" t="s">
        <v>78</v>
      </c>
      <c r="C60" s="14">
        <f>[899]NºAsuntos!$E$61/Población!$H$60*1000</f>
        <v>263.00734237618798</v>
      </c>
      <c r="D60" s="14">
        <f>[899]NºAsuntos!$E$21/Población!$H$60*1000</f>
        <v>26.245369821120207</v>
      </c>
      <c r="E60" s="14">
        <f>[899]NºAsuntos!$E$40/Población!$H$60*1000</f>
        <v>222.9604144422035</v>
      </c>
      <c r="F60" s="14">
        <f>[899]NºAsuntos!$E$47/Población!$H$60*1000</f>
        <v>7.1578281330327833</v>
      </c>
      <c r="G60" s="14">
        <f>[899]NºAsuntos!$E$54/Población!$H$60*1000</f>
        <v>6.6437299798315337</v>
      </c>
    </row>
    <row r="61" spans="2:7" ht="20.100000000000001" customHeight="1" thickBot="1" x14ac:dyDescent="0.25">
      <c r="B61" s="9" t="s">
        <v>79</v>
      </c>
      <c r="C61" s="14">
        <f>[900]NºAsuntos!$E$61/Población!$H$61*1000</f>
        <v>271.2087451959743</v>
      </c>
      <c r="D61" s="14">
        <f>[900]NºAsuntos!$E$21/Población!$H$61*1000</f>
        <v>38.118167815645045</v>
      </c>
      <c r="E61" s="14">
        <f>[900]NºAsuntos!$E$40/Población!$H$61*1000</f>
        <v>192.69937641129937</v>
      </c>
      <c r="F61" s="14">
        <f>[900]NºAsuntos!$E$47/Población!$H$61*1000</f>
        <v>31.23925169355924</v>
      </c>
      <c r="G61" s="14">
        <f>[900]NºAsuntos!$E$54/Población!$H$61*1000</f>
        <v>9.1519492754706828</v>
      </c>
    </row>
    <row r="62" spans="2:7" ht="20.100000000000001" customHeight="1" thickBot="1" x14ac:dyDescent="0.25">
      <c r="B62" s="12" t="s">
        <v>6</v>
      </c>
      <c r="C62" s="15">
        <f>[901]NºAsuntos!$E$60/Población!$S$62*1000</f>
        <v>173.25622971265307</v>
      </c>
      <c r="D62" s="15">
        <f>[901]NºAsuntos!$E$20/Población!$S$62*1000</f>
        <v>29.518275006177515</v>
      </c>
      <c r="E62" s="15">
        <f>[901]NºAsuntos!$E$39/Población!$S$62*1000</f>
        <v>130.96031334790516</v>
      </c>
      <c r="F62" s="15">
        <f>[901]NºAsuntos!$E$46/Población!$S$62*1000</f>
        <v>5.390219198038861</v>
      </c>
      <c r="G62" s="15">
        <f>[901]NºAsuntos!$E$53/Población!$S$62*1000</f>
        <v>7.3723702406409055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8"/>
  <dimension ref="B8:G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7" ht="13.5" thickBot="1" x14ac:dyDescent="0.25"/>
    <row r="9" spans="2: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7" ht="20.100000000000001" customHeight="1" thickBot="1" x14ac:dyDescent="0.25">
      <c r="B10" s="9" t="s">
        <v>31</v>
      </c>
      <c r="C10" s="14">
        <f>[902]NºAsuntos!$E$36/Población!$G$10*1000</f>
        <v>121.18864392678869</v>
      </c>
      <c r="D10" s="14">
        <f>[902]NºAsuntos!$E$17/Población!$G$10*1000</f>
        <v>24.201851081530783</v>
      </c>
      <c r="E10" s="14">
        <f>[902]NºAsuntos!$E$28/Población!$G$10*1000</f>
        <v>89.507071547420963</v>
      </c>
      <c r="F10" s="14">
        <f>[902]NºAsuntos!$E$31/Población!$G$10*1000</f>
        <v>2.2020590682196342</v>
      </c>
      <c r="G10" s="14">
        <f>[902]NºAsuntos!$E$35/Población!$G$10*1000</f>
        <v>5.2776622296173041</v>
      </c>
    </row>
    <row r="11" spans="2:7" ht="20.100000000000001" customHeight="1" thickBot="1" x14ac:dyDescent="0.25">
      <c r="B11" s="9" t="s">
        <v>32</v>
      </c>
      <c r="C11" s="14">
        <f>[903]NºAsuntos!$E$36/Población!$G$11*1000</f>
        <v>203.71463914859768</v>
      </c>
      <c r="D11" s="14">
        <f>[903]NºAsuntos!$E$17/Población!$G$11*1000</f>
        <v>31.712277092500589</v>
      </c>
      <c r="E11" s="14">
        <f>[903]NºAsuntos!$E$28/Población!$G$11*1000</f>
        <v>164.48095664426407</v>
      </c>
      <c r="F11" s="14">
        <f>[903]NºAsuntos!$E$31/Población!$G$11*1000</f>
        <v>1.784818536714329</v>
      </c>
      <c r="G11" s="14">
        <f>[903]NºAsuntos!$E$35/Población!$G$11*1000</f>
        <v>5.7365868751186948</v>
      </c>
    </row>
    <row r="12" spans="2:7" ht="20.100000000000001" customHeight="1" thickBot="1" x14ac:dyDescent="0.25">
      <c r="B12" s="9" t="s">
        <v>33</v>
      </c>
      <c r="C12" s="14">
        <f>[904]NºAsuntos!$E$36/Población!$G$12*1000</f>
        <v>193.18814662387823</v>
      </c>
      <c r="D12" s="14">
        <f>[904]NºAsuntos!$E$17/Población!$G$12*1000</f>
        <v>26.256093677273952</v>
      </c>
      <c r="E12" s="14">
        <f>[904]NºAsuntos!$E$28/Población!$G$12*1000</f>
        <v>158.91003813396702</v>
      </c>
      <c r="F12" s="14">
        <f>[904]NºAsuntos!$E$31/Población!$G$12*1000</f>
        <v>2.4758498485256775</v>
      </c>
      <c r="G12" s="14">
        <f>[904]NºAsuntos!$E$35/Población!$G$12*1000</f>
        <v>5.5461649641116093</v>
      </c>
    </row>
    <row r="13" spans="2:7" ht="20.100000000000001" customHeight="1" thickBot="1" x14ac:dyDescent="0.25">
      <c r="B13" s="9" t="s">
        <v>34</v>
      </c>
      <c r="C13" s="14">
        <f>[905]NºAsuntos!$E$36/Población!$G$13*1000</f>
        <v>121.76411952379841</v>
      </c>
      <c r="D13" s="14">
        <f>[905]NºAsuntos!$E$17/Población!$G$13*1000</f>
        <v>28.917478171871302</v>
      </c>
      <c r="E13" s="14">
        <f>[905]NºAsuntos!$E$28/Población!$G$13*1000</f>
        <v>81.034948342595769</v>
      </c>
      <c r="F13" s="14">
        <f>[905]NºAsuntos!$E$31/Población!$G$13*1000</f>
        <v>4.5539860713368912</v>
      </c>
      <c r="G13" s="14">
        <f>[905]NºAsuntos!$E$35/Población!$G$13*1000</f>
        <v>7.2577069379944463</v>
      </c>
    </row>
    <row r="14" spans="2:7" ht="20.100000000000001" customHeight="1" thickBot="1" x14ac:dyDescent="0.25">
      <c r="B14" s="9" t="s">
        <v>35</v>
      </c>
      <c r="C14" s="14">
        <f>[906]NºAsuntos!$E$36/Población!$G$14*1000</f>
        <v>133.7054805017485</v>
      </c>
      <c r="D14" s="14">
        <f>[906]NºAsuntos!$E$17/Población!$G$14*1000</f>
        <v>34.512160574382214</v>
      </c>
      <c r="E14" s="14">
        <f>[906]NºAsuntos!$E$28/Población!$G$14*1000</f>
        <v>85.771872547334979</v>
      </c>
      <c r="F14" s="14">
        <f>[906]NºAsuntos!$E$31/Población!$G$14*1000</f>
        <v>2.6889335754457173</v>
      </c>
      <c r="G14" s="14">
        <f>[906]NºAsuntos!$E$35/Población!$G$14*1000</f>
        <v>10.732513804585583</v>
      </c>
    </row>
    <row r="15" spans="2:7" ht="20.100000000000001" customHeight="1" thickBot="1" x14ac:dyDescent="0.25">
      <c r="B15" s="9" t="s">
        <v>36</v>
      </c>
      <c r="C15" s="14">
        <f>[907]NºAsuntos!$E$36/Población!$G$15*1000</f>
        <v>116.88179510512956</v>
      </c>
      <c r="D15" s="14">
        <f>[907]NºAsuntos!$E$17/Población!$G$15*1000</f>
        <v>22.618420422434024</v>
      </c>
      <c r="E15" s="14">
        <f>[907]NºAsuntos!$E$28/Población!$G$15*1000</f>
        <v>90.198285358494175</v>
      </c>
      <c r="F15" s="14">
        <f>[907]NºAsuntos!$E$31/Población!$G$15*1000</f>
        <v>1.6104698500886059</v>
      </c>
      <c r="G15" s="14">
        <f>[907]NºAsuntos!$E$35/Población!$G$15*1000</f>
        <v>2.4546194741127452</v>
      </c>
    </row>
    <row r="16" spans="2:7" ht="20.100000000000001" customHeight="1" thickBot="1" x14ac:dyDescent="0.25">
      <c r="B16" s="9" t="s">
        <v>37</v>
      </c>
      <c r="C16" s="14">
        <f>[908]NºAsuntos!$E$36/Población!$G$16*1000</f>
        <v>129.60096767610261</v>
      </c>
      <c r="D16" s="14">
        <f>[908]NºAsuntos!$E$17/Población!$G$16*1000</f>
        <v>24.573252753244081</v>
      </c>
      <c r="E16" s="14">
        <f>[908]NºAsuntos!$E$28/Población!$G$16*1000</f>
        <v>98.701174886302525</v>
      </c>
      <c r="F16" s="14">
        <f>[908]NºAsuntos!$E$31/Población!$G$16*1000</f>
        <v>2.4281281515390312</v>
      </c>
      <c r="G16" s="14">
        <f>[908]NºAsuntos!$E$35/Población!$G$16*1000</f>
        <v>3.8984118850169596</v>
      </c>
    </row>
    <row r="17" spans="2:7" ht="20.100000000000001" customHeight="1" thickBot="1" x14ac:dyDescent="0.25">
      <c r="B17" s="9" t="s">
        <v>29</v>
      </c>
      <c r="C17" s="14">
        <f>[909]NºAsuntos!$E$36/Población!$G$17*1000</f>
        <v>199.26845964576441</v>
      </c>
      <c r="D17" s="14">
        <f>[909]NºAsuntos!$E$17/Población!$G$17*1000</f>
        <v>34.860054255231496</v>
      </c>
      <c r="E17" s="14">
        <f>[909]NºAsuntos!$E$28/Población!$G$17*1000</f>
        <v>158.55567569326976</v>
      </c>
      <c r="F17" s="14">
        <f>[909]NºAsuntos!$E$31/Población!$G$17*1000</f>
        <v>1.8247822518057104</v>
      </c>
      <c r="G17" s="14">
        <f>[909]NºAsuntos!$E$35/Población!$G$17*1000</f>
        <v>4.0279474454574213</v>
      </c>
    </row>
    <row r="18" spans="2:7" ht="20.100000000000001" customHeight="1" thickBot="1" x14ac:dyDescent="0.25">
      <c r="B18" s="9" t="s">
        <v>38</v>
      </c>
      <c r="C18" s="14">
        <f>[910]NºAsuntos!$E$36/Población!$G$18*1000</f>
        <v>161.62548499393651</v>
      </c>
      <c r="D18" s="14">
        <f>[910]NºAsuntos!$E$17/Población!$G$18*1000</f>
        <v>30.41757217364151</v>
      </c>
      <c r="E18" s="14">
        <f>[910]NºAsuntos!$E$28/Población!$G$18*1000</f>
        <v>122.586032251164</v>
      </c>
      <c r="F18" s="14">
        <f>[910]NºAsuntos!$E$31/Población!$G$18*1000</f>
        <v>1.8531083045656684</v>
      </c>
      <c r="G18" s="14">
        <f>[910]NºAsuntos!$E$35/Población!$G$18*1000</f>
        <v>6.7687722645653166</v>
      </c>
    </row>
    <row r="19" spans="2:7" ht="20.100000000000001" customHeight="1" thickBot="1" x14ac:dyDescent="0.25">
      <c r="B19" s="9" t="s">
        <v>39</v>
      </c>
      <c r="C19" s="14">
        <f>[911]NºAsuntos!$E$36/Población!$G$19*1000</f>
        <v>122.88711041638612</v>
      </c>
      <c r="D19" s="14">
        <f>[911]NºAsuntos!$E$17/Población!$G$19*1000</f>
        <v>27.567790695320554</v>
      </c>
      <c r="E19" s="14">
        <f>[911]NºAsuntos!$E$28/Población!$G$19*1000</f>
        <v>86.429891012083473</v>
      </c>
      <c r="F19" s="14">
        <f>[911]NºAsuntos!$E$31/Población!$G$19*1000</f>
        <v>2.2654841086059352</v>
      </c>
      <c r="G19" s="14">
        <f>[911]NºAsuntos!$E$35/Población!$G$19*1000</f>
        <v>6.6239446003761717</v>
      </c>
    </row>
    <row r="20" spans="2:7" ht="20.100000000000001" customHeight="1" thickBot="1" x14ac:dyDescent="0.25">
      <c r="B20" s="9" t="s">
        <v>40</v>
      </c>
      <c r="C20" s="14">
        <f>[912]NºAsuntos!$E$36/Población!$G$20*1000</f>
        <v>136.59870201456425</v>
      </c>
      <c r="D20" s="14">
        <f>[912]NºAsuntos!$E$17/Población!$G$20*1000</f>
        <v>28.937374834150919</v>
      </c>
      <c r="E20" s="14">
        <f>[912]NºAsuntos!$E$28/Población!$G$20*1000</f>
        <v>97.096844781882496</v>
      </c>
      <c r="F20" s="14">
        <f>[912]NºAsuntos!$E$31/Población!$G$20*1000</f>
        <v>2.5455582916229247</v>
      </c>
      <c r="G20" s="14">
        <f>[912]NºAsuntos!$E$35/Población!$G$20*1000</f>
        <v>8.0189241069079085</v>
      </c>
    </row>
    <row r="21" spans="2:7" ht="20.100000000000001" customHeight="1" thickBot="1" x14ac:dyDescent="0.25">
      <c r="B21" s="9" t="s">
        <v>41</v>
      </c>
      <c r="C21" s="14">
        <f>[913]NºAsuntos!$E$36/Población!$G$21*1000</f>
        <v>106.75990111008774</v>
      </c>
      <c r="D21" s="14">
        <f>[913]NºAsuntos!$E$17/Población!$G$21*1000</f>
        <v>21.113481021862427</v>
      </c>
      <c r="E21" s="14">
        <f>[913]NºAsuntos!$E$28/Población!$G$21*1000</f>
        <v>78.573852343787877</v>
      </c>
      <c r="F21" s="14">
        <f>[913]NºAsuntos!$E$31/Población!$G$21*1000</f>
        <v>2.0553589606864122</v>
      </c>
      <c r="G21" s="14">
        <f>[913]NºAsuntos!$E$35/Población!$G$21*1000</f>
        <v>5.0172087837510295</v>
      </c>
    </row>
    <row r="22" spans="2:7" ht="20.100000000000001" customHeight="1" thickBot="1" x14ac:dyDescent="0.25">
      <c r="B22" s="9" t="s">
        <v>42</v>
      </c>
      <c r="C22" s="14">
        <f>[914]NºAsuntos!$E$36/Población!$G$22*1000</f>
        <v>170.67081520675939</v>
      </c>
      <c r="D22" s="14">
        <f>[914]NºAsuntos!$E$17/Población!$G$22*1000</f>
        <v>27.361564069622982</v>
      </c>
      <c r="E22" s="14">
        <f>[914]NºAsuntos!$E$28/Población!$G$22*1000</f>
        <v>135.17844001229656</v>
      </c>
      <c r="F22" s="14">
        <f>[914]NºAsuntos!$E$31/Población!$G$22*1000</f>
        <v>3.1241081386870277</v>
      </c>
      <c r="G22" s="14">
        <f>[914]NºAsuntos!$E$35/Población!$G$22*1000</f>
        <v>5.0067029861528081</v>
      </c>
    </row>
    <row r="23" spans="2:7" ht="20.100000000000001" customHeight="1" thickBot="1" x14ac:dyDescent="0.25">
      <c r="B23" s="9" t="s">
        <v>5</v>
      </c>
      <c r="C23" s="14">
        <f>[915]NºAsuntos!$E$36/Población!$G$23*1000</f>
        <v>150.40129181642124</v>
      </c>
      <c r="D23" s="14">
        <f>[915]NºAsuntos!$E$17/Población!$G$23*1000</f>
        <v>34.669550016094355</v>
      </c>
      <c r="E23" s="14">
        <f>[915]NºAsuntos!$E$28/Población!$G$23*1000</f>
        <v>105.59318808697708</v>
      </c>
      <c r="F23" s="14">
        <f>[915]NºAsuntos!$E$31/Población!$G$23*1000</f>
        <v>2.9734540973023726</v>
      </c>
      <c r="G23" s="14">
        <f>[915]NºAsuntos!$E$35/Población!$G$23*1000</f>
        <v>7.1650996160474048</v>
      </c>
    </row>
    <row r="24" spans="2:7" ht="20.100000000000001" customHeight="1" thickBot="1" x14ac:dyDescent="0.25">
      <c r="B24" s="9" t="s">
        <v>43</v>
      </c>
      <c r="C24" s="14">
        <f>[916]NºAsuntos!$E$36/Población!$G$24*1000</f>
        <v>168.49762251762871</v>
      </c>
      <c r="D24" s="14">
        <f>[916]NºAsuntos!$E$17/Población!$G$24*1000</f>
        <v>29.328416434806929</v>
      </c>
      <c r="E24" s="14">
        <f>[916]NºAsuntos!$E$28/Población!$G$24*1000</f>
        <v>132.32198324721401</v>
      </c>
      <c r="F24" s="14">
        <f>[916]NºAsuntos!$E$31/Población!$G$24*1000</f>
        <v>1.8935211765225455</v>
      </c>
      <c r="G24" s="14">
        <f>[916]NºAsuntos!$E$35/Población!$G$24*1000</f>
        <v>4.9537016590852216</v>
      </c>
    </row>
    <row r="25" spans="2:7" ht="20.100000000000001" customHeight="1" thickBot="1" x14ac:dyDescent="0.25">
      <c r="B25" s="9" t="s">
        <v>44</v>
      </c>
      <c r="C25" s="14">
        <f>[917]NºAsuntos!$E$36/Población!$G$25*1000</f>
        <v>129.70043594768626</v>
      </c>
      <c r="D25" s="14">
        <f>[917]NºAsuntos!$E$17/Población!$G$25*1000</f>
        <v>22.319321681398232</v>
      </c>
      <c r="E25" s="14">
        <f>[917]NºAsuntos!$E$28/Población!$G$25*1000</f>
        <v>101.30184377874656</v>
      </c>
      <c r="F25" s="14">
        <f>[917]NºAsuntos!$E$31/Población!$G$25*1000</f>
        <v>1.6318041834979802</v>
      </c>
      <c r="G25" s="14">
        <f>[917]NºAsuntos!$E$35/Población!$G$25*1000</f>
        <v>4.4474663040435152</v>
      </c>
    </row>
    <row r="26" spans="2:7" ht="20.100000000000001" customHeight="1" thickBot="1" x14ac:dyDescent="0.25">
      <c r="B26" s="9" t="s">
        <v>45</v>
      </c>
      <c r="C26" s="14">
        <f>[918]NºAsuntos!$E$36/Población!$G$26*1000</f>
        <v>157.44362397625628</v>
      </c>
      <c r="D26" s="14">
        <f>[918]NºAsuntos!$E$17/Población!$G$26*1000</f>
        <v>24.016543086478933</v>
      </c>
      <c r="E26" s="14">
        <f>[918]NºAsuntos!$E$28/Población!$G$26*1000</f>
        <v>124.92478097239079</v>
      </c>
      <c r="F26" s="14">
        <f>[918]NºAsuntos!$E$31/Población!$G$26*1000</f>
        <v>3.3721072546839781</v>
      </c>
      <c r="G26" s="14">
        <f>[918]NºAsuntos!$E$35/Población!$G$26*1000</f>
        <v>5.1301926627025818</v>
      </c>
    </row>
    <row r="27" spans="2:7" ht="20.100000000000001" customHeight="1" thickBot="1" x14ac:dyDescent="0.25">
      <c r="B27" s="9" t="s">
        <v>46</v>
      </c>
      <c r="C27" s="14">
        <f>[919]NºAsuntos!$E$36/Población!$G$27*1000</f>
        <v>125.72833931093</v>
      </c>
      <c r="D27" s="14">
        <f>[919]NºAsuntos!$E$17/Población!$G$27*1000</f>
        <v>28.815832332629515</v>
      </c>
      <c r="E27" s="14">
        <f>[919]NºAsuntos!$E$28/Población!$G$27*1000</f>
        <v>87.848038576133817</v>
      </c>
      <c r="F27" s="14">
        <f>[919]NºAsuntos!$E$31/Población!$G$27*1000</f>
        <v>2.7123289373368586</v>
      </c>
      <c r="G27" s="14">
        <f>[919]NºAsuntos!$E$35/Población!$G$27*1000</f>
        <v>6.3521394648298095</v>
      </c>
    </row>
    <row r="28" spans="2:7" ht="20.100000000000001" customHeight="1" thickBot="1" x14ac:dyDescent="0.25">
      <c r="B28" s="9" t="s">
        <v>47</v>
      </c>
      <c r="C28" s="14">
        <f>[920]NºAsuntos!$E$36/Población!$G$28*1000</f>
        <v>111.69665438949099</v>
      </c>
      <c r="D28" s="14">
        <f>[920]NºAsuntos!$E$17/Población!$G$28*1000</f>
        <v>18.372488868800907</v>
      </c>
      <c r="E28" s="14">
        <f>[920]NºAsuntos!$E$28/Población!$G$28*1000</f>
        <v>86.376181638089378</v>
      </c>
      <c r="F28" s="14">
        <f>[920]NºAsuntos!$E$31/Población!$G$28*1000</f>
        <v>2.130073951551636</v>
      </c>
      <c r="G28" s="14">
        <f>[920]NºAsuntos!$E$35/Población!$G$28*1000</f>
        <v>4.8179099310490736</v>
      </c>
    </row>
    <row r="29" spans="2:7" ht="20.100000000000001" customHeight="1" thickBot="1" x14ac:dyDescent="0.25">
      <c r="B29" s="9" t="s">
        <v>48</v>
      </c>
      <c r="C29" s="14">
        <f>[921]NºAsuntos!$E$36/Población!$G$10*1000</f>
        <v>184.39579866888519</v>
      </c>
      <c r="D29" s="14">
        <f>[921]NºAsuntos!$E$17/Población!$G$10*1000</f>
        <v>39.665661397670547</v>
      </c>
      <c r="E29" s="14">
        <f>[921]NºAsuntos!$E$28/Población!$G$10*1000</f>
        <v>132.24833610648918</v>
      </c>
      <c r="F29" s="14">
        <f>[921]NºAsuntos!$E$31/Población!$G$10*1000</f>
        <v>3.3355865224625627</v>
      </c>
      <c r="G29" s="14">
        <f>[921]NºAsuntos!$E$35/Población!$G$10*1000</f>
        <v>9.1462146422628958</v>
      </c>
    </row>
    <row r="30" spans="2:7" ht="20.100000000000001" customHeight="1" thickBot="1" x14ac:dyDescent="0.25">
      <c r="B30" s="9" t="s">
        <v>49</v>
      </c>
      <c r="C30" s="14">
        <f>[922]NºAsuntos!$E$36/Población!$G$30*1000</f>
        <v>163.74870956770894</v>
      </c>
      <c r="D30" s="14">
        <f>[922]NºAsuntos!$E$17/Población!$G$30*1000</f>
        <v>28.008776444456483</v>
      </c>
      <c r="E30" s="14">
        <f>[922]NºAsuntos!$E$28/Población!$G$30*1000</f>
        <v>129.66173367885318</v>
      </c>
      <c r="F30" s="14">
        <f>[922]NºAsuntos!$E$31/Población!$G$30*1000</f>
        <v>2.118867248753209</v>
      </c>
      <c r="G30" s="14">
        <f>[922]NºAsuntos!$E$35/Población!$G$30*1000</f>
        <v>3.959332195646089</v>
      </c>
    </row>
    <row r="31" spans="2:7" ht="20.100000000000001" customHeight="1" thickBot="1" x14ac:dyDescent="0.25">
      <c r="B31" s="9" t="s">
        <v>50</v>
      </c>
      <c r="C31" s="14">
        <f>[923]NºAsuntos!$E$36/Población!$G$31*1000</f>
        <v>229.09682680178139</v>
      </c>
      <c r="D31" s="14">
        <f>[923]NºAsuntos!$E$17/Población!$G$31*1000</f>
        <v>29.818863558749122</v>
      </c>
      <c r="E31" s="14">
        <f>[923]NºAsuntos!$E$28/Población!$G$31*1000</f>
        <v>188.56589282354008</v>
      </c>
      <c r="F31" s="14">
        <f>[923]NºAsuntos!$E$31/Población!$G$31*1000</f>
        <v>3.0131327985429168</v>
      </c>
      <c r="G31" s="14">
        <f>[923]NºAsuntos!$E$35/Población!$G$31*1000</f>
        <v>7.6989376209492884</v>
      </c>
    </row>
    <row r="32" spans="2:7" ht="20.100000000000001" customHeight="1" thickBot="1" x14ac:dyDescent="0.25">
      <c r="B32" s="9" t="s">
        <v>51</v>
      </c>
      <c r="C32" s="14">
        <f>[924]NºAsuntos!$E$36/Población!$G$32*1000</f>
        <v>130.60956036458768</v>
      </c>
      <c r="D32" s="14">
        <f>[924]NºAsuntos!$E$17/Población!$G$32*1000</f>
        <v>24.021164540559642</v>
      </c>
      <c r="E32" s="14">
        <f>[924]NºAsuntos!$E$28/Población!$G$32*1000</f>
        <v>98.077423344802369</v>
      </c>
      <c r="F32" s="14">
        <f>[924]NºAsuntos!$E$31/Población!$G$32*1000</f>
        <v>2.4148780044861757</v>
      </c>
      <c r="G32" s="14">
        <f>[924]NºAsuntos!$E$35/Población!$G$32*1000</f>
        <v>6.0960944747394921</v>
      </c>
    </row>
    <row r="33" spans="2:7" ht="20.100000000000001" customHeight="1" thickBot="1" x14ac:dyDescent="0.25">
      <c r="B33" s="9" t="s">
        <v>52</v>
      </c>
      <c r="C33" s="14">
        <f>[925]NºAsuntos!$E$36/Población!$G$33*1000</f>
        <v>164.88077520918083</v>
      </c>
      <c r="D33" s="14">
        <f>[925]NºAsuntos!$E$17/Población!$G$33*1000</f>
        <v>26.59200648212455</v>
      </c>
      <c r="E33" s="14">
        <f>[925]NºAsuntos!$E$28/Población!$G$33*1000</f>
        <v>131.07492476105435</v>
      </c>
      <c r="F33" s="14">
        <f>[925]NºAsuntos!$E$31/Población!$G$33*1000</f>
        <v>2.5816879981479643</v>
      </c>
      <c r="G33" s="14">
        <f>[925]NºAsuntos!$E$35/Población!$G$33*1000</f>
        <v>4.6321559678539534</v>
      </c>
    </row>
    <row r="34" spans="2:7" ht="20.100000000000001" customHeight="1" thickBot="1" x14ac:dyDescent="0.25">
      <c r="B34" s="9" t="s">
        <v>53</v>
      </c>
      <c r="C34" s="14">
        <f>[926]NºAsuntos!$E$36/Población!$G$34*1000</f>
        <v>105.25608716599339</v>
      </c>
      <c r="D34" s="14">
        <f>[926]NºAsuntos!$E$17/Población!$G$34*1000</f>
        <v>23.366564132972613</v>
      </c>
      <c r="E34" s="14">
        <f>[926]NºAsuntos!$E$28/Población!$G$34*1000</f>
        <v>76.710336137568106</v>
      </c>
      <c r="F34" s="14">
        <f>[926]NºAsuntos!$E$31/Población!$G$34*1000</f>
        <v>1.8854463921728495</v>
      </c>
      <c r="G34" s="14">
        <f>[926]NºAsuntos!$E$35/Población!$G$34*1000</f>
        <v>3.2937405032798428</v>
      </c>
    </row>
    <row r="35" spans="2:7" ht="20.100000000000001" customHeight="1" thickBot="1" x14ac:dyDescent="0.25">
      <c r="B35" s="9" t="s">
        <v>54</v>
      </c>
      <c r="C35" s="14">
        <f>[927]NºAsuntos!$E$36/Población!$G$35*1000</f>
        <v>113.40271761847933</v>
      </c>
      <c r="D35" s="14">
        <f>[927]NºAsuntos!$E$17/Población!$G$35*1000</f>
        <v>24.307722131688788</v>
      </c>
      <c r="E35" s="14">
        <f>[927]NºAsuntos!$E$28/Población!$G$35*1000</f>
        <v>83.079402196630539</v>
      </c>
      <c r="F35" s="14">
        <f>[927]NºAsuntos!$E$31/Población!$G$35*1000</f>
        <v>2.0203427615995544</v>
      </c>
      <c r="G35" s="14">
        <f>[927]NºAsuntos!$E$35/Población!$G$35*1000</f>
        <v>3.9952505285604372</v>
      </c>
    </row>
    <row r="36" spans="2:7" ht="20.100000000000001" customHeight="1" thickBot="1" x14ac:dyDescent="0.25">
      <c r="B36" s="9" t="s">
        <v>55</v>
      </c>
      <c r="C36" s="14">
        <f>[928]NºAsuntos!$E$36/Población!$G$36*1000</f>
        <v>137.99299055055235</v>
      </c>
      <c r="D36" s="14">
        <f>[928]NºAsuntos!$E$17/Población!$G$36*1000</f>
        <v>30.992010518207227</v>
      </c>
      <c r="E36" s="14">
        <f>[928]NºAsuntos!$E$28/Población!$G$36*1000</f>
        <v>96.547301684607035</v>
      </c>
      <c r="F36" s="14">
        <f>[928]NºAsuntos!$E$31/Población!$G$36*1000</f>
        <v>2.1455852164338922</v>
      </c>
      <c r="G36" s="14">
        <f>[928]NºAsuntos!$E$35/Población!$G$36*1000</f>
        <v>8.3080931313041688</v>
      </c>
    </row>
    <row r="37" spans="2:7" ht="20.100000000000001" customHeight="1" thickBot="1" x14ac:dyDescent="0.25">
      <c r="B37" s="9" t="s">
        <v>56</v>
      </c>
      <c r="C37" s="14">
        <f>[929]NºAsuntos!$E$36/Población!$G$37*1000</f>
        <v>125.84900322702592</v>
      </c>
      <c r="D37" s="14">
        <f>[929]NºAsuntos!$E$17/Población!$G$37*1000</f>
        <v>27.718875723201791</v>
      </c>
      <c r="E37" s="14">
        <f>[929]NºAsuntos!$E$28/Población!$G$37*1000</f>
        <v>93.100573554410062</v>
      </c>
      <c r="F37" s="14">
        <f>[929]NºAsuntos!$E$31/Población!$G$37*1000</f>
        <v>2.1730476993984063</v>
      </c>
      <c r="G37" s="14">
        <f>[929]NºAsuntos!$E$35/Población!$G$37*1000</f>
        <v>2.8565062500156468</v>
      </c>
    </row>
    <row r="38" spans="2:7" ht="20.100000000000001" customHeight="1" thickBot="1" x14ac:dyDescent="0.25">
      <c r="B38" s="9" t="s">
        <v>57</v>
      </c>
      <c r="C38" s="14">
        <f>[930]NºAsuntos!$E$36/Población!$G$38*1000</f>
        <v>105.05976931142958</v>
      </c>
      <c r="D38" s="14">
        <f>[930]NºAsuntos!$E$17/Población!$G$38*1000</f>
        <v>28.381684725620413</v>
      </c>
      <c r="E38" s="14">
        <f>[930]NºAsuntos!$E$28/Población!$G$38*1000</f>
        <v>67.937084935337282</v>
      </c>
      <c r="F38" s="14">
        <f>[930]NºAsuntos!$E$31/Población!$G$38*1000</f>
        <v>1.8566934638238377</v>
      </c>
      <c r="G38" s="14">
        <f>[930]NºAsuntos!$E$35/Población!$G$38*1000</f>
        <v>6.8843061866480246</v>
      </c>
    </row>
    <row r="39" spans="2:7" ht="20.100000000000001" customHeight="1" thickBot="1" x14ac:dyDescent="0.25">
      <c r="B39" s="9" t="s">
        <v>58</v>
      </c>
      <c r="C39" s="14">
        <f>[931]NºAsuntos!$E$36/Población!$G$39*1000</f>
        <v>190.84518932560806</v>
      </c>
      <c r="D39" s="14">
        <f>[931]NºAsuntos!$E$17/Población!$G$39*1000</f>
        <v>30.146996810773988</v>
      </c>
      <c r="E39" s="14">
        <f>[931]NºAsuntos!$E$28/Población!$G$39*1000</f>
        <v>150.54954249084906</v>
      </c>
      <c r="F39" s="14">
        <f>[931]NºAsuntos!$E$31/Población!$G$39*1000</f>
        <v>4.0124792447129458</v>
      </c>
      <c r="G39" s="14">
        <f>[931]NºAsuntos!$E$35/Población!$G$39*1000</f>
        <v>6.1361707792720601</v>
      </c>
    </row>
    <row r="40" spans="2:7" ht="20.100000000000001" customHeight="1" thickBot="1" x14ac:dyDescent="0.25">
      <c r="B40" s="9" t="s">
        <v>59</v>
      </c>
      <c r="C40" s="14">
        <f>[932]NºAsuntos!$E$36/Población!$G$40*1000</f>
        <v>282.60248835668415</v>
      </c>
      <c r="D40" s="14">
        <f>[932]NºAsuntos!$E$17/Población!$G$40*1000</f>
        <v>34.719063938643558</v>
      </c>
      <c r="E40" s="14">
        <f>[932]NºAsuntos!$E$28/Población!$G$40*1000</f>
        <v>235.18431494507053</v>
      </c>
      <c r="F40" s="14">
        <f>[932]NºAsuntos!$E$31/Población!$G$40*1000</f>
        <v>3.4580768386600056</v>
      </c>
      <c r="G40" s="14">
        <f>[932]NºAsuntos!$E$35/Población!$G$40*1000</f>
        <v>9.241032634310093</v>
      </c>
    </row>
    <row r="41" spans="2:7" ht="20.100000000000001" customHeight="1" thickBot="1" x14ac:dyDescent="0.25">
      <c r="B41" s="9" t="s">
        <v>60</v>
      </c>
      <c r="C41" s="14">
        <f>[933]NºAsuntos!$E$36/Población!$G$41*1000</f>
        <v>162.4714027333597</v>
      </c>
      <c r="D41" s="14">
        <f>[933]NºAsuntos!$E$17/Población!$G$41*1000</f>
        <v>28.60774731395307</v>
      </c>
      <c r="E41" s="14">
        <f>[933]NºAsuntos!$E$28/Población!$G$41*1000</f>
        <v>122.90461389198317</v>
      </c>
      <c r="F41" s="14">
        <f>[933]NºAsuntos!$E$31/Población!$G$41*1000</f>
        <v>4.3554685160563924</v>
      </c>
      <c r="G41" s="14">
        <f>[933]NºAsuntos!$E$35/Población!$G$41*1000</f>
        <v>6.6035730113670388</v>
      </c>
    </row>
    <row r="42" spans="2:7" ht="20.100000000000001" customHeight="1" thickBot="1" x14ac:dyDescent="0.25">
      <c r="B42" s="9" t="s">
        <v>61</v>
      </c>
      <c r="C42" s="14">
        <f>[934]NºAsuntos!$E$36/Población!$G$42*1000</f>
        <v>124.56358513965276</v>
      </c>
      <c r="D42" s="14">
        <f>[934]NºAsuntos!$E$17/Población!$G$42*1000</f>
        <v>21.728068047018226</v>
      </c>
      <c r="E42" s="14">
        <f>[934]NºAsuntos!$E$28/Población!$G$42*1000</f>
        <v>95.886579316294615</v>
      </c>
      <c r="F42" s="14">
        <f>[934]NºAsuntos!$E$31/Población!$G$42*1000</f>
        <v>2.7061091340450769</v>
      </c>
      <c r="G42" s="14">
        <f>[934]NºAsuntos!$E$35/Población!$G$42*1000</f>
        <v>4.2428286422948345</v>
      </c>
    </row>
    <row r="43" spans="2:7" ht="20.100000000000001" customHeight="1" thickBot="1" x14ac:dyDescent="0.25">
      <c r="B43" s="9" t="s">
        <v>62</v>
      </c>
      <c r="C43" s="14">
        <f>[935]NºAsuntos!$E$36/Población!$G$43*1000</f>
        <v>119.01164759759097</v>
      </c>
      <c r="D43" s="14">
        <f>[935]NºAsuntos!$E$17/Población!$G$43*1000</f>
        <v>25.4568479333245</v>
      </c>
      <c r="E43" s="14">
        <f>[935]NºAsuntos!$E$28/Población!$G$43*1000</f>
        <v>82.681745225368502</v>
      </c>
      <c r="F43" s="14">
        <f>[935]NºAsuntos!$E$31/Población!$G$43*1000</f>
        <v>2.1410375344200494</v>
      </c>
      <c r="G43" s="14">
        <f>[935]NºAsuntos!$E$35/Población!$G$43*1000</f>
        <v>8.7320169044779199</v>
      </c>
    </row>
    <row r="44" spans="2:7" ht="20.100000000000001" customHeight="1" thickBot="1" x14ac:dyDescent="0.25">
      <c r="B44" s="9" t="s">
        <v>63</v>
      </c>
      <c r="C44" s="14">
        <f>[936]NºAsuntos!$E$36/Población!$G$44*1000</f>
        <v>132.10853687359847</v>
      </c>
      <c r="D44" s="14">
        <f>[936]NºAsuntos!$E$17/Población!$G$44*1000</f>
        <v>31.019594053184683</v>
      </c>
      <c r="E44" s="14">
        <f>[936]NºAsuntos!$E$28/Población!$G$44*1000</f>
        <v>92.897371895014146</v>
      </c>
      <c r="F44" s="14">
        <f>[936]NºAsuntos!$E$31/Población!$G$44*1000</f>
        <v>1.9830403929187013</v>
      </c>
      <c r="G44" s="14">
        <f>[936]NºAsuntos!$E$35/Población!$G$44*1000</f>
        <v>6.2085305324809337</v>
      </c>
    </row>
    <row r="45" spans="2:7" ht="20.100000000000001" customHeight="1" thickBot="1" x14ac:dyDescent="0.25">
      <c r="B45" s="9" t="s">
        <v>64</v>
      </c>
      <c r="C45" s="14">
        <f>[937]NºAsuntos!$E$36/Población!$G$45*1000</f>
        <v>195.59494351376776</v>
      </c>
      <c r="D45" s="14">
        <f>[937]NºAsuntos!$E$17/Población!$G$45*1000</f>
        <v>40.959435849190854</v>
      </c>
      <c r="E45" s="14">
        <f>[937]NºAsuntos!$E$28/Población!$G$45*1000</f>
        <v>140.30346032524051</v>
      </c>
      <c r="F45" s="14">
        <f>[937]NºAsuntos!$E$31/Población!$G$45*1000</f>
        <v>2.6760797210868756</v>
      </c>
      <c r="G45" s="14">
        <f>[937]NºAsuntos!$E$35/Población!$G$45*1000</f>
        <v>11.65596761824952</v>
      </c>
    </row>
    <row r="46" spans="2:7" ht="20.100000000000001" customHeight="1" thickBot="1" x14ac:dyDescent="0.25">
      <c r="B46" s="9" t="s">
        <v>65</v>
      </c>
      <c r="C46" s="14">
        <f>[938]NºAsuntos!$E$36/Población!$G$46*1000</f>
        <v>168.71271891728861</v>
      </c>
      <c r="D46" s="14">
        <f>[938]NºAsuntos!$E$17/Población!$G$46*1000</f>
        <v>33.667941652607716</v>
      </c>
      <c r="E46" s="14">
        <f>[938]NºAsuntos!$E$28/Población!$G$46*1000</f>
        <v>125.28468706004725</v>
      </c>
      <c r="F46" s="14">
        <f>[938]NºAsuntos!$E$31/Población!$G$46*1000</f>
        <v>2.0728734929037391</v>
      </c>
      <c r="G46" s="14">
        <f>[938]NºAsuntos!$E$35/Población!$G$46*1000</f>
        <v>7.6872167117299064</v>
      </c>
    </row>
    <row r="47" spans="2:7" ht="20.100000000000001" customHeight="1" thickBot="1" x14ac:dyDescent="0.25">
      <c r="B47" s="9" t="s">
        <v>30</v>
      </c>
      <c r="C47" s="14">
        <f>[939]NºAsuntos!$E$36/Población!$G$47*1000</f>
        <v>118.25603486070332</v>
      </c>
      <c r="D47" s="14">
        <f>[939]NºAsuntos!$E$17/Población!$G$47*1000</f>
        <v>29.393790437220176</v>
      </c>
      <c r="E47" s="14">
        <f>[939]NºAsuntos!$E$28/Población!$G$47*1000</f>
        <v>78.386762498173269</v>
      </c>
      <c r="F47" s="14">
        <f>[939]NºAsuntos!$E$31/Población!$G$47*1000</f>
        <v>3.57707483625832</v>
      </c>
      <c r="G47" s="14">
        <f>[939]NºAsuntos!$E$35/Población!$G$47*1000</f>
        <v>6.8984070890515596</v>
      </c>
    </row>
    <row r="48" spans="2:7" ht="20.100000000000001" customHeight="1" thickBot="1" x14ac:dyDescent="0.25">
      <c r="B48" s="9" t="s">
        <v>66</v>
      </c>
      <c r="C48" s="14">
        <f>[940]NºAsuntos!$E$36/Población!$G$48*1000</f>
        <v>121.81695392351041</v>
      </c>
      <c r="D48" s="14">
        <f>[940]NºAsuntos!$E$17/Población!$G$48*1000</f>
        <v>25.464368611916669</v>
      </c>
      <c r="E48" s="14">
        <f>[940]NºAsuntos!$E$28/Población!$G$48*1000</f>
        <v>87.473823400886459</v>
      </c>
      <c r="F48" s="14">
        <f>[940]NºAsuntos!$E$31/Población!$G$48*1000</f>
        <v>3.3426594857185012</v>
      </c>
      <c r="G48" s="14">
        <f>[940]NºAsuntos!$E$35/Población!$G$48*1000</f>
        <v>5.5361024249887913</v>
      </c>
    </row>
    <row r="49" spans="2:7" ht="20.100000000000001" customHeight="1" thickBot="1" x14ac:dyDescent="0.25">
      <c r="B49" s="9" t="s">
        <v>67</v>
      </c>
      <c r="C49" s="14">
        <f>[941]NºAsuntos!$E$36/Población!$G$49*1000</f>
        <v>173.73414809609849</v>
      </c>
      <c r="D49" s="14">
        <f>[941]NºAsuntos!$E$17/Población!$G$49*1000</f>
        <v>32.57587164558656</v>
      </c>
      <c r="E49" s="14">
        <f>[941]NºAsuntos!$E$28/Población!$G$49*1000</f>
        <v>133.38185103392894</v>
      </c>
      <c r="F49" s="14">
        <f>[941]NºAsuntos!$E$31/Población!$G$49*1000</f>
        <v>2.0222679515492206</v>
      </c>
      <c r="G49" s="14">
        <f>[941]NºAsuntos!$E$35/Población!$G$49*1000</f>
        <v>5.7541574650337957</v>
      </c>
    </row>
    <row r="50" spans="2:7" ht="20.100000000000001" customHeight="1" thickBot="1" x14ac:dyDescent="0.25">
      <c r="B50" s="9" t="s">
        <v>68</v>
      </c>
      <c r="C50" s="14">
        <f>[942]NºAsuntos!$E$36/Población!$G$50*1000</f>
        <v>125.66471832661379</v>
      </c>
      <c r="D50" s="14">
        <f>[942]NºAsuntos!$E$17/Población!$G$50*1000</f>
        <v>26.299375630959958</v>
      </c>
      <c r="E50" s="14">
        <f>[942]NºAsuntos!$E$28/Población!$G$50*1000</f>
        <v>93.166663451584071</v>
      </c>
      <c r="F50" s="14">
        <f>[942]NºAsuntos!$E$31/Población!$G$50*1000</f>
        <v>1.9033288965193516</v>
      </c>
      <c r="G50" s="14">
        <f>[942]NºAsuntos!$E$35/Población!$G$50*1000</f>
        <v>4.2953503475504284</v>
      </c>
    </row>
    <row r="51" spans="2:7" ht="20.100000000000001" customHeight="1" thickBot="1" x14ac:dyDescent="0.25">
      <c r="B51" s="9" t="s">
        <v>69</v>
      </c>
      <c r="C51" s="14">
        <f>[943]NºAsuntos!$E$36/Población!$G$51*1000</f>
        <v>199.49082312884667</v>
      </c>
      <c r="D51" s="14">
        <f>[943]NºAsuntos!$E$17/Población!$G$51*1000</f>
        <v>27.282530315760226</v>
      </c>
      <c r="E51" s="14">
        <f>[943]NºAsuntos!$E$28/Población!$G$51*1000</f>
        <v>163.41788006888993</v>
      </c>
      <c r="F51" s="14">
        <f>[943]NºAsuntos!$E$31/Población!$G$51*1000</f>
        <v>3.4086624018417693</v>
      </c>
      <c r="G51" s="14">
        <f>[943]NºAsuntos!$E$35/Población!$G$51*1000</f>
        <v>5.3817503423547395</v>
      </c>
    </row>
    <row r="52" spans="2:7" ht="20.100000000000001" customHeight="1" thickBot="1" x14ac:dyDescent="0.25">
      <c r="B52" s="9" t="s">
        <v>70</v>
      </c>
      <c r="C52" s="14">
        <f>[944]NºAsuntos!$E$36/Población!$G$52*1000</f>
        <v>114.69931984521359</v>
      </c>
      <c r="D52" s="14">
        <f>[944]NºAsuntos!$E$17/Población!$G$52*1000</f>
        <v>31.356105763530337</v>
      </c>
      <c r="E52" s="14">
        <f>[944]NºAsuntos!$E$28/Población!$G$52*1000</f>
        <v>73.361861748569083</v>
      </c>
      <c r="F52" s="14">
        <f>[944]NºAsuntos!$E$31/Población!$G$52*1000</f>
        <v>2.9103295139749714</v>
      </c>
      <c r="G52" s="14">
        <f>[944]NºAsuntos!$E$35/Población!$G$52*1000</f>
        <v>7.0710228191391895</v>
      </c>
    </row>
    <row r="53" spans="2:7" ht="20.100000000000001" customHeight="1" thickBot="1" x14ac:dyDescent="0.25">
      <c r="B53" s="9" t="s">
        <v>71</v>
      </c>
      <c r="C53" s="14">
        <f>[945]NºAsuntos!$E$36/Población!$G$53*1000</f>
        <v>193.48651666106309</v>
      </c>
      <c r="D53" s="14">
        <f>[945]NºAsuntos!$E$17/Población!$G$53*1000</f>
        <v>30.710434142376226</v>
      </c>
      <c r="E53" s="14">
        <f>[945]NºAsuntos!$E$28/Población!$G$53*1000</f>
        <v>157.50162787431535</v>
      </c>
      <c r="F53" s="14">
        <f>[945]NºAsuntos!$E$31/Población!$G$53*1000</f>
        <v>1.3008808254138489</v>
      </c>
      <c r="G53" s="14">
        <f>[945]NºAsuntos!$E$35/Población!$G$53*1000</f>
        <v>3.9735738189576781</v>
      </c>
    </row>
    <row r="54" spans="2:7" ht="20.100000000000001" customHeight="1" thickBot="1" x14ac:dyDescent="0.25">
      <c r="B54" s="9" t="s">
        <v>72</v>
      </c>
      <c r="C54" s="14">
        <f>[946]NºAsuntos!$E$36/Población!$G$54*1000</f>
        <v>83.031518665258602</v>
      </c>
      <c r="D54" s="14">
        <f>[946]NºAsuntos!$E$17/Población!$G$54*1000</f>
        <v>15.302180861996867</v>
      </c>
      <c r="E54" s="14">
        <f>[946]NºAsuntos!$E$28/Población!$G$54*1000</f>
        <v>63.554727091026358</v>
      </c>
      <c r="F54" s="14">
        <f>[946]NºAsuntos!$E$31/Población!$G$54*1000</f>
        <v>1.6443288374169862</v>
      </c>
      <c r="G54" s="14">
        <f>[946]NºAsuntos!$E$35/Población!$G$54*1000</f>
        <v>2.53028187481838</v>
      </c>
    </row>
    <row r="55" spans="2:7" ht="20.100000000000001" customHeight="1" thickBot="1" x14ac:dyDescent="0.25">
      <c r="B55" s="9" t="s">
        <v>73</v>
      </c>
      <c r="C55" s="14">
        <f>[947]NºAsuntos!$E$36/Población!$G$55*1000</f>
        <v>107.8167206012142</v>
      </c>
      <c r="D55" s="14">
        <f>[947]NºAsuntos!$E$17/Población!$G$55*1000</f>
        <v>21.758243962450859</v>
      </c>
      <c r="E55" s="14">
        <f>[947]NºAsuntos!$E$28/Población!$G$55*1000</f>
        <v>80.288371533256665</v>
      </c>
      <c r="F55" s="14">
        <f>[947]NºAsuntos!$E$31/Población!$G$55*1000</f>
        <v>1.7567730202455136</v>
      </c>
      <c r="G55" s="14">
        <f>[947]NºAsuntos!$E$35/Población!$G$55*1000</f>
        <v>4.0133320852611591</v>
      </c>
    </row>
    <row r="56" spans="2:7" ht="20.100000000000001" customHeight="1" thickBot="1" x14ac:dyDescent="0.25">
      <c r="B56" s="9" t="s">
        <v>74</v>
      </c>
      <c r="C56" s="14">
        <f>[948]NºAsuntos!$E$36/Población!$G$56*1000</f>
        <v>197.74702602138186</v>
      </c>
      <c r="D56" s="14">
        <f>[948]NºAsuntos!$E$17/Población!$G$56*1000</f>
        <v>33.100667541715154</v>
      </c>
      <c r="E56" s="14">
        <f>[948]NºAsuntos!$E$28/Población!$G$56*1000</f>
        <v>155.33958888169798</v>
      </c>
      <c r="F56" s="14">
        <f>[948]NºAsuntos!$E$31/Población!$G$56*1000</f>
        <v>2.4782465484964997</v>
      </c>
      <c r="G56" s="14">
        <f>[948]NºAsuntos!$E$35/Población!$G$56*1000</f>
        <v>6.8285230494722402</v>
      </c>
    </row>
    <row r="57" spans="2:7" ht="20.100000000000001" customHeight="1" thickBot="1" x14ac:dyDescent="0.25">
      <c r="B57" s="9" t="s">
        <v>75</v>
      </c>
      <c r="C57" s="14">
        <f>[949]NºAsuntos!$E$36/Población!$G$57*1000</f>
        <v>134.98253263230706</v>
      </c>
      <c r="D57" s="14">
        <f>[949]NºAsuntos!$E$17/Población!$G$57*1000</f>
        <v>29.645950640599683</v>
      </c>
      <c r="E57" s="14">
        <f>[949]NºAsuntos!$E$28/Población!$G$57*1000</f>
        <v>94.570543683963052</v>
      </c>
      <c r="F57" s="14">
        <f>[949]NºAsuntos!$E$31/Población!$G$57*1000</f>
        <v>2.1508760885531424</v>
      </c>
      <c r="G57" s="14">
        <f>[949]NºAsuntos!$E$35/Población!$G$57*1000</f>
        <v>8.615162219191177</v>
      </c>
    </row>
    <row r="58" spans="2:7" ht="20.100000000000001" customHeight="1" thickBot="1" x14ac:dyDescent="0.25">
      <c r="B58" s="9" t="s">
        <v>76</v>
      </c>
      <c r="C58" s="14">
        <f>[950]NºAsuntos!$E$36/Población!$G$58*1000</f>
        <v>103.09778080739227</v>
      </c>
      <c r="D58" s="14">
        <f>[950]NºAsuntos!$E$17/Población!$G$58*1000</f>
        <v>25.075109192355271</v>
      </c>
      <c r="E58" s="14">
        <f>[950]NºAsuntos!$E$28/Población!$G$58*1000</f>
        <v>68.625817364740342</v>
      </c>
      <c r="F58" s="14">
        <f>[950]NºAsuntos!$E$31/Población!$G$58*1000</f>
        <v>2.9740715493953394</v>
      </c>
      <c r="G58" s="14">
        <f>[950]NºAsuntos!$E$35/Población!$G$58*1000</f>
        <v>6.4227827009013101</v>
      </c>
    </row>
    <row r="59" spans="2:7" ht="20.100000000000001" customHeight="1" thickBot="1" x14ac:dyDescent="0.25">
      <c r="B59" s="9" t="s">
        <v>77</v>
      </c>
      <c r="C59" s="14">
        <f>[951]NºAsuntos!$E$36/Población!$G$59*1000</f>
        <v>138.77961389013149</v>
      </c>
      <c r="D59" s="14">
        <f>[951]NºAsuntos!$E$17/Población!$G$59*1000</f>
        <v>28.963722162285432</v>
      </c>
      <c r="E59" s="14">
        <f>[951]NºAsuntos!$E$28/Población!$G$59*1000</f>
        <v>101.97330912471821</v>
      </c>
      <c r="F59" s="14">
        <f>[951]NºAsuntos!$E$31/Población!$G$59*1000</f>
        <v>2.2542080011227186</v>
      </c>
      <c r="G59" s="14">
        <f>[951]NºAsuntos!$E$35/Población!$G$59*1000</f>
        <v>5.5883746020051044</v>
      </c>
    </row>
    <row r="60" spans="2:7" ht="20.100000000000001" customHeight="1" thickBot="1" x14ac:dyDescent="0.25">
      <c r="B60" s="9" t="s">
        <v>78</v>
      </c>
      <c r="C60" s="14">
        <f>[952]NºAsuntos!$E$61/Población!$G$60*1000</f>
        <v>268.89048302247733</v>
      </c>
      <c r="D60" s="14">
        <f>[952]NºAsuntos!$E$21/Población!$G$60*1000</f>
        <v>26.090653063393379</v>
      </c>
      <c r="E60" s="14">
        <f>[952]NºAsuntos!$E$40/Población!$G$60*1000</f>
        <v>228.10723205271267</v>
      </c>
      <c r="F60" s="14">
        <f>[952]NºAsuntos!$E$47/Población!$G$60*1000</f>
        <v>8.3160635527923894</v>
      </c>
      <c r="G60" s="14">
        <f>[952]NºAsuntos!$E$54/Población!$G$60*1000</f>
        <v>6.3765343535788297</v>
      </c>
    </row>
    <row r="61" spans="2:7" ht="20.100000000000001" customHeight="1" thickBot="1" x14ac:dyDescent="0.25">
      <c r="B61" s="9" t="s">
        <v>79</v>
      </c>
      <c r="C61" s="14">
        <f>[953]NºAsuntos!$E$61/Población!$G$61*1000</f>
        <v>300.78793061324211</v>
      </c>
      <c r="D61" s="14">
        <f>[953]NºAsuntos!$E$21/Población!$G$61*1000</f>
        <v>40.679208404593204</v>
      </c>
      <c r="E61" s="14">
        <f>[953]NºAsuntos!$E$40/Población!$G$61*1000</f>
        <v>229.21756657708283</v>
      </c>
      <c r="F61" s="14">
        <f>[953]NºAsuntos!$E$47/Población!$G$61*1000</f>
        <v>21.668091864158317</v>
      </c>
      <c r="G61" s="14">
        <f>[953]NºAsuntos!$E$54/Población!$G$61*1000</f>
        <v>9.2230637674077691</v>
      </c>
    </row>
    <row r="62" spans="2:7" ht="20.100000000000001" customHeight="1" thickBot="1" x14ac:dyDescent="0.25">
      <c r="B62" s="12" t="s">
        <v>6</v>
      </c>
      <c r="C62" s="15">
        <f>[954]NºAsuntos!$E$60/Población!$S$62*1000</f>
        <v>165.83161792979544</v>
      </c>
      <c r="D62" s="15">
        <f>[954]NºAsuntos!$E$20/Población!$S$62*1000</f>
        <v>27.949718943508962</v>
      </c>
      <c r="E62" s="15">
        <f>[954]NºAsuntos!$E$39/Población!$S$62*1000</f>
        <v>125.80585745999345</v>
      </c>
      <c r="F62" s="15">
        <f>[954]NºAsuntos!$E$46/Población!$S$62*1000</f>
        <v>4.708738693775067</v>
      </c>
      <c r="G62" s="15">
        <f>[954]NºAsuntos!$E$53/Población!$S$62*1000</f>
        <v>7.3601741058365118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9"/>
  <dimension ref="B8:G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7" ht="13.5" thickBot="1" x14ac:dyDescent="0.25"/>
    <row r="9" spans="2: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7" ht="20.100000000000001" customHeight="1" thickBot="1" x14ac:dyDescent="0.25">
      <c r="B10" s="9" t="s">
        <v>31</v>
      </c>
      <c r="C10" s="14">
        <f>[955]NºAsuntos!$E$36/Población!$F$10*1000</f>
        <v>113.04052202146275</v>
      </c>
      <c r="D10" s="14">
        <f>[955]NºAsuntos!$E$17/Población!$F$10*1000</f>
        <v>23.088802681790391</v>
      </c>
      <c r="E10" s="14">
        <f>[955]NºAsuntos!$E$28/Población!$F$10*1000</f>
        <v>81.905821087474436</v>
      </c>
      <c r="F10" s="14">
        <f>[955]NºAsuntos!$E$31/Población!$F$10*1000</f>
        <v>2.7118340325947168</v>
      </c>
      <c r="G10" s="14">
        <f>[955]NºAsuntos!$E$35/Población!$F$10*1000</f>
        <v>5.3340642196032126</v>
      </c>
    </row>
    <row r="11" spans="2:7" ht="20.100000000000001" customHeight="1" thickBot="1" x14ac:dyDescent="0.25">
      <c r="B11" s="9" t="s">
        <v>32</v>
      </c>
      <c r="C11" s="14">
        <f>[956]NºAsuntos!$E$36/Población!$F$11*1000</f>
        <v>211.24837058851929</v>
      </c>
      <c r="D11" s="14">
        <f>[956]NºAsuntos!$E$17/Población!$F$11*1000</f>
        <v>29.400617969391202</v>
      </c>
      <c r="E11" s="14">
        <f>[956]NºAsuntos!$E$28/Población!$F$11*1000</f>
        <v>174.05071694105152</v>
      </c>
      <c r="F11" s="14">
        <f>[956]NºAsuntos!$E$31/Población!$F$11*1000</f>
        <v>1.8533046878771786</v>
      </c>
      <c r="G11" s="14">
        <f>[956]NºAsuntos!$E$35/Población!$F$11*1000</f>
        <v>5.9437309901993913</v>
      </c>
    </row>
    <row r="12" spans="2:7" ht="20.100000000000001" customHeight="1" thickBot="1" x14ac:dyDescent="0.25">
      <c r="B12" s="9" t="s">
        <v>33</v>
      </c>
      <c r="C12" s="14">
        <f>[957]NºAsuntos!$E$36/Población!$F$12*1000</f>
        <v>185.9666906290027</v>
      </c>
      <c r="D12" s="14">
        <f>[957]NºAsuntos!$E$17/Población!$F$12*1000</f>
        <v>25.622460466455315</v>
      </c>
      <c r="E12" s="14">
        <f>[957]NºAsuntos!$E$28/Población!$F$12*1000</f>
        <v>152.02119718589083</v>
      </c>
      <c r="F12" s="14">
        <f>[957]NºAsuntos!$E$31/Población!$F$12*1000</f>
        <v>2.4324356938820193</v>
      </c>
      <c r="G12" s="14">
        <f>[957]NºAsuntos!$E$35/Población!$F$12*1000</f>
        <v>5.8905972827745288</v>
      </c>
    </row>
    <row r="13" spans="2:7" ht="20.100000000000001" customHeight="1" thickBot="1" x14ac:dyDescent="0.25">
      <c r="B13" s="9" t="s">
        <v>34</v>
      </c>
      <c r="C13" s="14">
        <f>[958]NºAsuntos!$E$36/Población!$F$13*1000</f>
        <v>119.92362413612477</v>
      </c>
      <c r="D13" s="14">
        <f>[958]NºAsuntos!$E$17/Población!$F$13*1000</f>
        <v>26.927561210523645</v>
      </c>
      <c r="E13" s="14">
        <f>[958]NºAsuntos!$E$28/Población!$F$13*1000</f>
        <v>82.894848008651422</v>
      </c>
      <c r="F13" s="14">
        <f>[958]NºAsuntos!$E$31/Población!$F$13*1000</f>
        <v>3.4639495784119902</v>
      </c>
      <c r="G13" s="14">
        <f>[958]NºAsuntos!$E$35/Población!$F$13*1000</f>
        <v>6.6372653385377065</v>
      </c>
    </row>
    <row r="14" spans="2:7" ht="20.100000000000001" customHeight="1" thickBot="1" x14ac:dyDescent="0.25">
      <c r="B14" s="9" t="s">
        <v>35</v>
      </c>
      <c r="C14" s="14">
        <f>[959]NºAsuntos!$E$36/Población!$F$14*1000</f>
        <v>126.96773304301423</v>
      </c>
      <c r="D14" s="14">
        <f>[959]NºAsuntos!$E$17/Población!$F$14*1000</f>
        <v>30.802012738402681</v>
      </c>
      <c r="E14" s="14">
        <f>[959]NºAsuntos!$E$28/Población!$F$14*1000</f>
        <v>82.421507206911031</v>
      </c>
      <c r="F14" s="14">
        <f>[959]NºAsuntos!$E$31/Población!$F$14*1000</f>
        <v>2.207195083449669</v>
      </c>
      <c r="G14" s="14">
        <f>[959]NºAsuntos!$E$35/Población!$F$14*1000</f>
        <v>11.537018014250844</v>
      </c>
    </row>
    <row r="15" spans="2:7" ht="20.100000000000001" customHeight="1" thickBot="1" x14ac:dyDescent="0.25">
      <c r="B15" s="9" t="s">
        <v>36</v>
      </c>
      <c r="C15" s="14">
        <f>[960]NºAsuntos!$E$36/Población!$F$15*1000</f>
        <v>109.23615960700268</v>
      </c>
      <c r="D15" s="14">
        <f>[960]NºAsuntos!$E$17/Población!$F$15*1000</f>
        <v>21.805090663905414</v>
      </c>
      <c r="E15" s="14">
        <f>[960]NºAsuntos!$E$28/Población!$F$15*1000</f>
        <v>84.017627085992245</v>
      </c>
      <c r="F15" s="14">
        <f>[960]NºAsuntos!$E$31/Población!$F$15*1000</f>
        <v>1.6194283237411804</v>
      </c>
      <c r="G15" s="14">
        <f>[960]NºAsuntos!$E$35/Población!$F$15*1000</f>
        <v>1.7940135333638356</v>
      </c>
    </row>
    <row r="16" spans="2:7" ht="20.100000000000001" customHeight="1" thickBot="1" x14ac:dyDescent="0.25">
      <c r="B16" s="9" t="s">
        <v>37</v>
      </c>
      <c r="C16" s="14">
        <f>[961]NºAsuntos!$E$36/Población!$F$16*1000</f>
        <v>126.63429211804258</v>
      </c>
      <c r="D16" s="14">
        <f>[961]NºAsuntos!$E$17/Población!$F$16*1000</f>
        <v>22.580343909286995</v>
      </c>
      <c r="E16" s="14">
        <f>[961]NºAsuntos!$E$28/Población!$F$16*1000</f>
        <v>97.795437839661631</v>
      </c>
      <c r="F16" s="14">
        <f>[961]NºAsuntos!$E$31/Población!$F$16*1000</f>
        <v>1.8150433200380782</v>
      </c>
      <c r="G16" s="14">
        <f>[961]NºAsuntos!$E$35/Población!$F$16*1000</f>
        <v>4.4434670490558759</v>
      </c>
    </row>
    <row r="17" spans="2:7" ht="20.100000000000001" customHeight="1" thickBot="1" x14ac:dyDescent="0.25">
      <c r="B17" s="9" t="s">
        <v>29</v>
      </c>
      <c r="C17" s="14">
        <f>[962]NºAsuntos!$E$36/Población!$F$17*1000</f>
        <v>198.72885570836976</v>
      </c>
      <c r="D17" s="14">
        <f>[962]NºAsuntos!$E$17/Población!$F$17*1000</f>
        <v>35.254883277751311</v>
      </c>
      <c r="E17" s="14">
        <f>[962]NºAsuntos!$E$28/Población!$F$17*1000</f>
        <v>157.75172897612154</v>
      </c>
      <c r="F17" s="14">
        <f>[962]NºAsuntos!$E$31/Población!$F$17*1000</f>
        <v>1.3308273432141942</v>
      </c>
      <c r="G17" s="14">
        <f>[962]NºAsuntos!$E$35/Población!$F$17*1000</f>
        <v>4.3914161112827141</v>
      </c>
    </row>
    <row r="18" spans="2:7" ht="20.100000000000001" customHeight="1" thickBot="1" x14ac:dyDescent="0.25">
      <c r="B18" s="9" t="s">
        <v>38</v>
      </c>
      <c r="C18" s="14">
        <f>[963]NºAsuntos!$E$36/Población!$F$18*1000</f>
        <v>158.01410152826804</v>
      </c>
      <c r="D18" s="14">
        <f>[963]NºAsuntos!$E$17/Población!$F$18*1000</f>
        <v>28.933827157116664</v>
      </c>
      <c r="E18" s="14">
        <f>[963]NºAsuntos!$E$28/Población!$F$18*1000</f>
        <v>120.18773380019285</v>
      </c>
      <c r="F18" s="14">
        <f>[963]NºAsuntos!$E$31/Población!$F$18*1000</f>
        <v>1.7999622891096616</v>
      </c>
      <c r="G18" s="14">
        <f>[963]NºAsuntos!$E$35/Población!$F$18*1000</f>
        <v>7.0925782818488496</v>
      </c>
    </row>
    <row r="19" spans="2:7" ht="20.100000000000001" customHeight="1" thickBot="1" x14ac:dyDescent="0.25">
      <c r="B19" s="9" t="s">
        <v>39</v>
      </c>
      <c r="C19" s="14">
        <f>[964]NºAsuntos!$E$36/Población!$F$19*1000</f>
        <v>119.73225311843201</v>
      </c>
      <c r="D19" s="14">
        <f>[964]NºAsuntos!$E$17/Población!$F$19*1000</f>
        <v>24.867128447355853</v>
      </c>
      <c r="E19" s="14">
        <f>[964]NºAsuntos!$E$28/Población!$F$19*1000</f>
        <v>85.451789760614929</v>
      </c>
      <c r="F19" s="14">
        <f>[964]NºAsuntos!$E$31/Población!$F$19*1000</f>
        <v>1.9022633844752357</v>
      </c>
      <c r="G19" s="14">
        <f>[964]NºAsuntos!$E$35/Población!$F$19*1000</f>
        <v>7.5110715259859768</v>
      </c>
    </row>
    <row r="20" spans="2:7" ht="20.100000000000001" customHeight="1" thickBot="1" x14ac:dyDescent="0.25">
      <c r="B20" s="9" t="s">
        <v>40</v>
      </c>
      <c r="C20" s="14">
        <f>[965]NºAsuntos!$E$36/Población!$F$20*1000</f>
        <v>134.11346184599242</v>
      </c>
      <c r="D20" s="14">
        <f>[965]NºAsuntos!$E$17/Población!$F$20*1000</f>
        <v>28.754029463832318</v>
      </c>
      <c r="E20" s="14">
        <f>[965]NºAsuntos!$E$28/Población!$F$20*1000</f>
        <v>95.885107326119339</v>
      </c>
      <c r="F20" s="14">
        <f>[965]NºAsuntos!$E$31/Población!$F$20*1000</f>
        <v>2.1462418323574712</v>
      </c>
      <c r="G20" s="14">
        <f>[965]NºAsuntos!$E$35/Población!$F$20*1000</f>
        <v>7.3280832236832882</v>
      </c>
    </row>
    <row r="21" spans="2:7" ht="20.100000000000001" customHeight="1" thickBot="1" x14ac:dyDescent="0.25">
      <c r="B21" s="9" t="s">
        <v>41</v>
      </c>
      <c r="C21" s="14">
        <f>[966]NºAsuntos!$E$36/Población!$F$21*1000</f>
        <v>98.925593718855595</v>
      </c>
      <c r="D21" s="14">
        <f>[966]NºAsuntos!$E$17/Población!$F$21*1000</f>
        <v>20.472058144339918</v>
      </c>
      <c r="E21" s="14">
        <f>[966]NºAsuntos!$E$28/Población!$F$21*1000</f>
        <v>71.341063224677313</v>
      </c>
      <c r="F21" s="14">
        <f>[966]NºAsuntos!$E$31/Población!$F$21*1000</f>
        <v>1.8619801161914484</v>
      </c>
      <c r="G21" s="14">
        <f>[966]NºAsuntos!$E$35/Población!$F$21*1000</f>
        <v>5.2504922336469049</v>
      </c>
    </row>
    <row r="22" spans="2:7" ht="20.100000000000001" customHeight="1" thickBot="1" x14ac:dyDescent="0.25">
      <c r="B22" s="9" t="s">
        <v>42</v>
      </c>
      <c r="C22" s="14">
        <f>[967]NºAsuntos!$E$36/Población!$F$22*1000</f>
        <v>165.61173643520038</v>
      </c>
      <c r="D22" s="14">
        <f>[967]NºAsuntos!$E$17/Población!$F$22*1000</f>
        <v>26.012260665387579</v>
      </c>
      <c r="E22" s="14">
        <f>[967]NºAsuntos!$E$28/Población!$F$22*1000</f>
        <v>131.99023681394468</v>
      </c>
      <c r="F22" s="14">
        <f>[967]NºAsuntos!$E$31/Población!$F$22*1000</f>
        <v>2.6391863782599061</v>
      </c>
      <c r="G22" s="14">
        <f>[967]NºAsuntos!$E$35/Población!$F$22*1000</f>
        <v>4.9700525776082252</v>
      </c>
    </row>
    <row r="23" spans="2:7" ht="20.100000000000001" customHeight="1" thickBot="1" x14ac:dyDescent="0.25">
      <c r="B23" s="9" t="s">
        <v>5</v>
      </c>
      <c r="C23" s="14">
        <f>[968]NºAsuntos!$E$36/Población!$F$23*1000</f>
        <v>146.54171713675953</v>
      </c>
      <c r="D23" s="14">
        <f>[968]NºAsuntos!$E$17/Población!$F$23*1000</f>
        <v>33.083145872988403</v>
      </c>
      <c r="E23" s="14">
        <f>[968]NºAsuntos!$E$28/Población!$F$23*1000</f>
        <v>103.37536771067658</v>
      </c>
      <c r="F23" s="14">
        <f>[968]NºAsuntos!$E$31/Población!$F$23*1000</f>
        <v>2.5811847493799389</v>
      </c>
      <c r="G23" s="14">
        <f>[968]NºAsuntos!$E$35/Población!$F$23*1000</f>
        <v>7.5020188037145994</v>
      </c>
    </row>
    <row r="24" spans="2:7" ht="20.100000000000001" customHeight="1" thickBot="1" x14ac:dyDescent="0.25">
      <c r="B24" s="9" t="s">
        <v>43</v>
      </c>
      <c r="C24" s="14">
        <f>[969]NºAsuntos!$E$36/Población!$F$24*1000</f>
        <v>162.01158634290644</v>
      </c>
      <c r="D24" s="14">
        <f>[969]NºAsuntos!$E$17/Población!$F$24*1000</f>
        <v>26.288293242564169</v>
      </c>
      <c r="E24" s="14">
        <f>[969]NºAsuntos!$E$28/Población!$F$24*1000</f>
        <v>129.14505684134676</v>
      </c>
      <c r="F24" s="14">
        <f>[969]NºAsuntos!$E$31/Población!$F$24*1000</f>
        <v>1.5758184869487717</v>
      </c>
      <c r="G24" s="14">
        <f>[969]NºAsuntos!$E$35/Población!$F$24*1000</f>
        <v>5.0024177720467629</v>
      </c>
    </row>
    <row r="25" spans="2:7" ht="20.100000000000001" customHeight="1" thickBot="1" x14ac:dyDescent="0.25">
      <c r="B25" s="9" t="s">
        <v>44</v>
      </c>
      <c r="C25" s="14">
        <f>[970]NºAsuntos!$E$36/Población!$F$25*1000</f>
        <v>126.14776614176104</v>
      </c>
      <c r="D25" s="14">
        <f>[970]NºAsuntos!$E$17/Población!$F$25*1000</f>
        <v>20.577626117334869</v>
      </c>
      <c r="E25" s="14">
        <f>[970]NºAsuntos!$E$28/Población!$F$25*1000</f>
        <v>98.921921471088268</v>
      </c>
      <c r="F25" s="14">
        <f>[970]NºAsuntos!$E$31/Población!$F$25*1000</f>
        <v>1.446499795096102</v>
      </c>
      <c r="G25" s="14">
        <f>[970]NºAsuntos!$E$35/Población!$F$25*1000</f>
        <v>5.2017187582418032</v>
      </c>
    </row>
    <row r="26" spans="2:7" ht="20.100000000000001" customHeight="1" thickBot="1" x14ac:dyDescent="0.25">
      <c r="B26" s="9" t="s">
        <v>45</v>
      </c>
      <c r="C26" s="14">
        <f>[971]NºAsuntos!$E$36/Población!$F$26*1000</f>
        <v>146.84498698501034</v>
      </c>
      <c r="D26" s="14">
        <f>[971]NºAsuntos!$E$17/Población!$F$26*1000</f>
        <v>22.078038647466887</v>
      </c>
      <c r="E26" s="14">
        <f>[971]NºAsuntos!$E$28/Población!$F$26*1000</f>
        <v>115.92444894661931</v>
      </c>
      <c r="F26" s="14">
        <f>[971]NºAsuntos!$E$31/Población!$F$26*1000</f>
        <v>3.1338556426071014</v>
      </c>
      <c r="G26" s="14">
        <f>[971]NºAsuntos!$E$35/Población!$F$26*1000</f>
        <v>5.7086437483170274</v>
      </c>
    </row>
    <row r="27" spans="2:7" ht="20.100000000000001" customHeight="1" thickBot="1" x14ac:dyDescent="0.25">
      <c r="B27" s="9" t="s">
        <v>46</v>
      </c>
      <c r="C27" s="14">
        <f>[972]NºAsuntos!$E$36/Población!$F$27*1000</f>
        <v>119.63679299126761</v>
      </c>
      <c r="D27" s="14">
        <f>[972]NºAsuntos!$E$17/Población!$F$27*1000</f>
        <v>25.592503281776153</v>
      </c>
      <c r="E27" s="14">
        <f>[972]NºAsuntos!$E$28/Población!$F$27*1000</f>
        <v>84.602048969807669</v>
      </c>
      <c r="F27" s="14">
        <f>[972]NºAsuntos!$E$31/Población!$F$27*1000</f>
        <v>2.7832672221905139</v>
      </c>
      <c r="G27" s="14">
        <f>[972]NºAsuntos!$E$35/Población!$F$27*1000</f>
        <v>6.6589735174932931</v>
      </c>
    </row>
    <row r="28" spans="2:7" ht="20.100000000000001" customHeight="1" thickBot="1" x14ac:dyDescent="0.25">
      <c r="B28" s="9" t="s">
        <v>47</v>
      </c>
      <c r="C28" s="14">
        <f>[973]NºAsuntos!$E$36/Población!$F$28*1000</f>
        <v>108.29348899514046</v>
      </c>
      <c r="D28" s="14">
        <f>[973]NºAsuntos!$E$17/Población!$F$28*1000</f>
        <v>16.773733047822983</v>
      </c>
      <c r="E28" s="14">
        <f>[973]NºAsuntos!$E$28/Población!$F$28*1000</f>
        <v>85.291328112013929</v>
      </c>
      <c r="F28" s="14">
        <f>[973]NºAsuntos!$E$31/Población!$F$28*1000</f>
        <v>1.8626616995688012</v>
      </c>
      <c r="G28" s="14">
        <f>[973]NºAsuntos!$E$35/Población!$F$28*1000</f>
        <v>4.3657661357347495</v>
      </c>
    </row>
    <row r="29" spans="2:7" ht="20.100000000000001" customHeight="1" thickBot="1" x14ac:dyDescent="0.25">
      <c r="B29" s="9" t="s">
        <v>48</v>
      </c>
      <c r="C29" s="14">
        <f>[974]NºAsuntos!$E$36/Población!$F$10*1000</f>
        <v>184.55756783538195</v>
      </c>
      <c r="D29" s="14">
        <f>[974]NºAsuntos!$E$17/Población!$F$10*1000</f>
        <v>37.159241846050051</v>
      </c>
      <c r="E29" s="14">
        <f>[974]NºAsuntos!$E$28/Población!$F$10*1000</f>
        <v>134.8353397566992</v>
      </c>
      <c r="F29" s="14">
        <f>[974]NºAsuntos!$E$31/Población!$F$10*1000</f>
        <v>2.7276464759334611</v>
      </c>
      <c r="G29" s="14">
        <f>[974]NºAsuntos!$E$35/Población!$F$10*1000</f>
        <v>9.8353397566992058</v>
      </c>
    </row>
    <row r="30" spans="2:7" ht="20.100000000000001" customHeight="1" thickBot="1" x14ac:dyDescent="0.25">
      <c r="B30" s="9" t="s">
        <v>49</v>
      </c>
      <c r="C30" s="14">
        <f>[975]NºAsuntos!$E$36/Población!$F$30*1000</f>
        <v>166.85528719046584</v>
      </c>
      <c r="D30" s="14">
        <f>[975]NºAsuntos!$E$17/Población!$F$30*1000</f>
        <v>27.373553516358115</v>
      </c>
      <c r="E30" s="14">
        <f>[975]NºAsuntos!$E$28/Población!$F$30*1000</f>
        <v>133.52289695975153</v>
      </c>
      <c r="F30" s="14">
        <f>[975]NºAsuntos!$E$31/Población!$F$30*1000</f>
        <v>2.0701102486961607</v>
      </c>
      <c r="G30" s="14">
        <f>[975]NºAsuntos!$E$35/Población!$F$30*1000</f>
        <v>3.8887264656600617</v>
      </c>
    </row>
    <row r="31" spans="2:7" ht="20.100000000000001" customHeight="1" thickBot="1" x14ac:dyDescent="0.25">
      <c r="B31" s="9" t="s">
        <v>50</v>
      </c>
      <c r="C31" s="14">
        <f>[976]NºAsuntos!$E$36/Población!$F$31*1000</f>
        <v>206.53402036624067</v>
      </c>
      <c r="D31" s="14">
        <f>[976]NºAsuntos!$E$17/Población!$F$31*1000</f>
        <v>31.66141332823247</v>
      </c>
      <c r="E31" s="14">
        <f>[976]NºAsuntos!$E$28/Población!$F$31*1000</f>
        <v>165.54134731794599</v>
      </c>
      <c r="F31" s="14">
        <f>[976]NºAsuntos!$E$31/Población!$F$31*1000</f>
        <v>2.1789572608344909</v>
      </c>
      <c r="G31" s="14">
        <f>[976]NºAsuntos!$E$35/Población!$F$31*1000</f>
        <v>7.1523024592277178</v>
      </c>
    </row>
    <row r="32" spans="2:7" ht="20.100000000000001" customHeight="1" thickBot="1" x14ac:dyDescent="0.25">
      <c r="B32" s="9" t="s">
        <v>51</v>
      </c>
      <c r="C32" s="14">
        <f>[977]NºAsuntos!$E$36/Población!$F$32*1000</f>
        <v>127.7531676576609</v>
      </c>
      <c r="D32" s="14">
        <f>[977]NºAsuntos!$E$17/Población!$F$32*1000</f>
        <v>24.908077333649626</v>
      </c>
      <c r="E32" s="14">
        <f>[977]NºAsuntos!$E$28/Población!$F$32*1000</f>
        <v>93.531635320994468</v>
      </c>
      <c r="F32" s="14">
        <f>[977]NºAsuntos!$E$31/Población!$F$32*1000</f>
        <v>2.4237673595890938</v>
      </c>
      <c r="G32" s="14">
        <f>[977]NºAsuntos!$E$35/Población!$F$32*1000</f>
        <v>6.889687643427723</v>
      </c>
    </row>
    <row r="33" spans="2:7" ht="20.100000000000001" customHeight="1" thickBot="1" x14ac:dyDescent="0.25">
      <c r="B33" s="9" t="s">
        <v>52</v>
      </c>
      <c r="C33" s="14">
        <f>[978]NºAsuntos!$E$36/Población!$F$33*1000</f>
        <v>164.78675580597726</v>
      </c>
      <c r="D33" s="14">
        <f>[978]NºAsuntos!$E$17/Población!$F$33*1000</f>
        <v>25.470572070475157</v>
      </c>
      <c r="E33" s="14">
        <f>[978]NºAsuntos!$E$28/Población!$F$33*1000</f>
        <v>130.43022233783017</v>
      </c>
      <c r="F33" s="14">
        <f>[978]NºAsuntos!$E$31/Población!$F$33*1000</f>
        <v>2.1858290312498032</v>
      </c>
      <c r="G33" s="14">
        <f>[978]NºAsuntos!$E$35/Población!$F$33*1000</f>
        <v>6.7001323664221415</v>
      </c>
    </row>
    <row r="34" spans="2:7" ht="20.100000000000001" customHeight="1" thickBot="1" x14ac:dyDescent="0.25">
      <c r="B34" s="9" t="s">
        <v>53</v>
      </c>
      <c r="C34" s="14">
        <f>[979]NºAsuntos!$E$36/Población!$F$34*1000</f>
        <v>102.33394864279641</v>
      </c>
      <c r="D34" s="14">
        <f>[979]NºAsuntos!$E$17/Población!$F$34*1000</f>
        <v>21.070826346517865</v>
      </c>
      <c r="E34" s="14">
        <f>[979]NºAsuntos!$E$28/Población!$F$34*1000</f>
        <v>76.171553914730325</v>
      </c>
      <c r="F34" s="14">
        <f>[979]NºAsuntos!$E$31/Población!$F$34*1000</f>
        <v>1.7754731072188483</v>
      </c>
      <c r="G34" s="14">
        <f>[979]NºAsuntos!$E$35/Población!$F$34*1000</f>
        <v>3.3160952743293834</v>
      </c>
    </row>
    <row r="35" spans="2:7" ht="20.100000000000001" customHeight="1" thickBot="1" x14ac:dyDescent="0.25">
      <c r="B35" s="9" t="s">
        <v>54</v>
      </c>
      <c r="C35" s="14">
        <f>[980]NºAsuntos!$E$36/Población!$F$35*1000</f>
        <v>109.92149228827518</v>
      </c>
      <c r="D35" s="14">
        <f>[980]NºAsuntos!$E$17/Población!$F$35*1000</f>
        <v>22.227553181411182</v>
      </c>
      <c r="E35" s="14">
        <f>[980]NºAsuntos!$E$28/Población!$F$35*1000</f>
        <v>81.233631493541225</v>
      </c>
      <c r="F35" s="14">
        <f>[980]NºAsuntos!$E$31/Población!$F$35*1000</f>
        <v>1.8106585907728228</v>
      </c>
      <c r="G35" s="14">
        <f>[980]NºAsuntos!$E$35/Población!$F$35*1000</f>
        <v>4.6496490225499576</v>
      </c>
    </row>
    <row r="36" spans="2:7" ht="20.100000000000001" customHeight="1" thickBot="1" x14ac:dyDescent="0.25">
      <c r="B36" s="9" t="s">
        <v>55</v>
      </c>
      <c r="C36" s="14">
        <f>[981]NºAsuntos!$E$36/Población!$F$36*1000</f>
        <v>130.71724305893815</v>
      </c>
      <c r="D36" s="14">
        <f>[981]NºAsuntos!$E$17/Población!$F$36*1000</f>
        <v>29.803945445689234</v>
      </c>
      <c r="E36" s="14">
        <f>[981]NºAsuntos!$E$28/Población!$F$36*1000</f>
        <v>90.298749797044962</v>
      </c>
      <c r="F36" s="14">
        <f>[981]NºAsuntos!$E$31/Población!$F$36*1000</f>
        <v>1.9037181360610489</v>
      </c>
      <c r="G36" s="14">
        <f>[981]NºAsuntos!$E$35/Población!$F$36*1000</f>
        <v>8.7108296801428811</v>
      </c>
    </row>
    <row r="37" spans="2:7" ht="20.100000000000001" customHeight="1" thickBot="1" x14ac:dyDescent="0.25">
      <c r="B37" s="9" t="s">
        <v>56</v>
      </c>
      <c r="C37" s="14">
        <f>[982]NºAsuntos!$E$36/Población!$F$37*1000</f>
        <v>125.21683130264977</v>
      </c>
      <c r="D37" s="14">
        <f>[982]NºAsuntos!$E$17/Población!$F$37*1000</f>
        <v>25.453657827220507</v>
      </c>
      <c r="E37" s="14">
        <f>[982]NºAsuntos!$E$28/Población!$F$37*1000</f>
        <v>95.494063756193327</v>
      </c>
      <c r="F37" s="14">
        <f>[982]NºAsuntos!$E$31/Población!$F$37*1000</f>
        <v>1.4827625606348613</v>
      </c>
      <c r="G37" s="14">
        <f>[982]NºAsuntos!$E$35/Población!$F$37*1000</f>
        <v>2.7863471586010617</v>
      </c>
    </row>
    <row r="38" spans="2:7" ht="20.100000000000001" customHeight="1" thickBot="1" x14ac:dyDescent="0.25">
      <c r="B38" s="9" t="s">
        <v>57</v>
      </c>
      <c r="C38" s="14">
        <f>[983]NºAsuntos!$E$36/Población!$F$38*1000</f>
        <v>103.82422193208575</v>
      </c>
      <c r="D38" s="14">
        <f>[983]NºAsuntos!$E$17/Población!$F$38*1000</f>
        <v>27.024538850390009</v>
      </c>
      <c r="E38" s="14">
        <f>[983]NºAsuntos!$E$28/Población!$F$38*1000</f>
        <v>65.342082063986254</v>
      </c>
      <c r="F38" s="14">
        <f>[983]NºAsuntos!$E$31/Población!$F$38*1000</f>
        <v>1.6906029259147668</v>
      </c>
      <c r="G38" s="14">
        <f>[983]NºAsuntos!$E$35/Población!$F$38*1000</f>
        <v>9.7669980917947168</v>
      </c>
    </row>
    <row r="39" spans="2:7" ht="20.100000000000001" customHeight="1" thickBot="1" x14ac:dyDescent="0.25">
      <c r="B39" s="9" t="s">
        <v>58</v>
      </c>
      <c r="C39" s="14">
        <f>[984]NºAsuntos!$E$36/Población!$F$39*1000</f>
        <v>184.91207923609809</v>
      </c>
      <c r="D39" s="14">
        <f>[984]NºAsuntos!$E$17/Población!$F$39*1000</f>
        <v>27.835273011487505</v>
      </c>
      <c r="E39" s="14">
        <f>[984]NºAsuntos!$E$28/Población!$F$39*1000</f>
        <v>146.50509084763738</v>
      </c>
      <c r="F39" s="14">
        <f>[984]NºAsuntos!$E$31/Población!$F$39*1000</f>
        <v>3.7081195673464284</v>
      </c>
      <c r="G39" s="14">
        <f>[984]NºAsuntos!$E$35/Población!$F$39*1000</f>
        <v>6.8635958096267782</v>
      </c>
    </row>
    <row r="40" spans="2:7" ht="20.100000000000001" customHeight="1" thickBot="1" x14ac:dyDescent="0.25">
      <c r="B40" s="9" t="s">
        <v>59</v>
      </c>
      <c r="C40" s="14">
        <f>[985]NºAsuntos!$E$36/Población!$F$40*1000</f>
        <v>289.6450095677522</v>
      </c>
      <c r="D40" s="14">
        <f>[985]NºAsuntos!$E$17/Población!$F$40*1000</f>
        <v>34.508289071302109</v>
      </c>
      <c r="E40" s="14">
        <f>[985]NºAsuntos!$E$28/Población!$F$40*1000</f>
        <v>241.45501368099147</v>
      </c>
      <c r="F40" s="14">
        <f>[985]NºAsuntos!$E$31/Población!$F$40*1000</f>
        <v>3.8364003791333583</v>
      </c>
      <c r="G40" s="14">
        <f>[985]NºAsuntos!$E$35/Población!$F$40*1000</f>
        <v>9.8453064363252683</v>
      </c>
    </row>
    <row r="41" spans="2:7" ht="20.100000000000001" customHeight="1" thickBot="1" x14ac:dyDescent="0.25">
      <c r="B41" s="9" t="s">
        <v>60</v>
      </c>
      <c r="C41" s="14">
        <f>[986]NºAsuntos!$E$36/Población!$F$41*1000</f>
        <v>164.55007901480968</v>
      </c>
      <c r="D41" s="14">
        <f>[986]NºAsuntos!$E$17/Población!$F$41*1000</f>
        <v>27.075895925987144</v>
      </c>
      <c r="E41" s="14">
        <f>[986]NºAsuntos!$E$28/Población!$F$41*1000</f>
        <v>126.47698992966677</v>
      </c>
      <c r="F41" s="14">
        <f>[986]NºAsuntos!$E$31/Población!$F$41*1000</f>
        <v>5.1502517197113766</v>
      </c>
      <c r="G41" s="14">
        <f>[986]NºAsuntos!$E$35/Población!$F$41*1000</f>
        <v>5.8469414394443779</v>
      </c>
    </row>
    <row r="42" spans="2:7" ht="20.100000000000001" customHeight="1" thickBot="1" x14ac:dyDescent="0.25">
      <c r="B42" s="9" t="s">
        <v>61</v>
      </c>
      <c r="C42" s="14">
        <f>[987]NºAsuntos!$E$36/Población!$F$42*1000</f>
        <v>113.03943331497742</v>
      </c>
      <c r="D42" s="14">
        <f>[987]NºAsuntos!$E$17/Población!$F$42*1000</f>
        <v>20.313510074666429</v>
      </c>
      <c r="E42" s="14">
        <f>[987]NºAsuntos!$E$28/Población!$F$42*1000</f>
        <v>85.955323275198637</v>
      </c>
      <c r="F42" s="14">
        <f>[987]NºAsuntos!$E$31/Población!$F$42*1000</f>
        <v>2.5447468421538684</v>
      </c>
      <c r="G42" s="14">
        <f>[987]NºAsuntos!$E$35/Población!$F$42*1000</f>
        <v>4.2258531229584735</v>
      </c>
    </row>
    <row r="43" spans="2:7" ht="20.100000000000001" customHeight="1" thickBot="1" x14ac:dyDescent="0.25">
      <c r="B43" s="9" t="s">
        <v>62</v>
      </c>
      <c r="C43" s="14">
        <f>[988]NºAsuntos!$E$36/Población!$F$43*1000</f>
        <v>116.34994621728218</v>
      </c>
      <c r="D43" s="14">
        <f>[988]NºAsuntos!$E$17/Población!$F$43*1000</f>
        <v>23.549776933973632</v>
      </c>
      <c r="E43" s="14">
        <f>[988]NºAsuntos!$E$28/Población!$F$43*1000</f>
        <v>82.293436157268886</v>
      </c>
      <c r="F43" s="14">
        <f>[988]NºAsuntos!$E$31/Población!$F$43*1000</f>
        <v>1.9514603624308613</v>
      </c>
      <c r="G43" s="14">
        <f>[988]NºAsuntos!$E$35/Población!$F$43*1000</f>
        <v>8.5552727636087909</v>
      </c>
    </row>
    <row r="44" spans="2:7" ht="20.100000000000001" customHeight="1" thickBot="1" x14ac:dyDescent="0.25">
      <c r="B44" s="9" t="s">
        <v>63</v>
      </c>
      <c r="C44" s="14">
        <f>[989]NºAsuntos!$E$36/Población!$F$44*1000</f>
        <v>117.06994654865221</v>
      </c>
      <c r="D44" s="14">
        <f>[989]NºAsuntos!$E$17/Población!$F$44*1000</f>
        <v>27.898155066383126</v>
      </c>
      <c r="E44" s="14">
        <f>[989]NºAsuntos!$E$28/Población!$F$44*1000</f>
        <v>79.527559055118118</v>
      </c>
      <c r="F44" s="14">
        <f>[989]NºAsuntos!$E$31/Población!$F$44*1000</f>
        <v>2.2357606759009139</v>
      </c>
      <c r="G44" s="14">
        <f>[989]NºAsuntos!$E$35/Población!$F$44*1000</f>
        <v>7.4084717512500715</v>
      </c>
    </row>
    <row r="45" spans="2:7" ht="20.100000000000001" customHeight="1" thickBot="1" x14ac:dyDescent="0.25">
      <c r="B45" s="9" t="s">
        <v>64</v>
      </c>
      <c r="C45" s="14">
        <f>[990]NºAsuntos!$E$36/Población!$F$45*1000</f>
        <v>181.95816550639836</v>
      </c>
      <c r="D45" s="14">
        <f>[990]NºAsuntos!$E$17/Población!$F$45*1000</f>
        <v>36.070296861197328</v>
      </c>
      <c r="E45" s="14">
        <f>[990]NºAsuntos!$E$28/Población!$F$45*1000</f>
        <v>131.50574190986379</v>
      </c>
      <c r="F45" s="14">
        <f>[990]NºAsuntos!$E$31/Población!$F$45*1000</f>
        <v>3.2944055887382384</v>
      </c>
      <c r="G45" s="14">
        <f>[990]NºAsuntos!$E$35/Población!$F$45*1000</f>
        <v>11.087721146599023</v>
      </c>
    </row>
    <row r="46" spans="2:7" ht="20.100000000000001" customHeight="1" thickBot="1" x14ac:dyDescent="0.25">
      <c r="B46" s="9" t="s">
        <v>65</v>
      </c>
      <c r="C46" s="14">
        <f>[991]NºAsuntos!$E$36/Población!$F$46*1000</f>
        <v>169.03723261981824</v>
      </c>
      <c r="D46" s="14">
        <f>[991]NºAsuntos!$E$17/Población!$F$46*1000</f>
        <v>29.838946173239478</v>
      </c>
      <c r="E46" s="14">
        <f>[991]NºAsuntos!$E$28/Población!$F$46*1000</f>
        <v>129.31570653464115</v>
      </c>
      <c r="F46" s="14">
        <f>[991]NºAsuntos!$E$31/Población!$F$46*1000</f>
        <v>1.9421417913894801</v>
      </c>
      <c r="G46" s="14">
        <f>[991]NºAsuntos!$E$35/Población!$F$46*1000</f>
        <v>7.9404381205481398</v>
      </c>
    </row>
    <row r="47" spans="2:7" ht="20.100000000000001" customHeight="1" thickBot="1" x14ac:dyDescent="0.25">
      <c r="B47" s="9" t="s">
        <v>30</v>
      </c>
      <c r="C47" s="14">
        <f>[992]NºAsuntos!$E$36/Población!$F$47*1000</f>
        <v>115.11720200440806</v>
      </c>
      <c r="D47" s="14">
        <f>[992]NºAsuntos!$E$17/Población!$F$47*1000</f>
        <v>24.854114929842311</v>
      </c>
      <c r="E47" s="14">
        <f>[992]NºAsuntos!$E$28/Población!$F$47*1000</f>
        <v>79.430290271262777</v>
      </c>
      <c r="F47" s="14">
        <f>[992]NºAsuntos!$E$31/Población!$F$47*1000</f>
        <v>2.3982040721777671</v>
      </c>
      <c r="G47" s="14">
        <f>[992]NºAsuntos!$E$35/Población!$F$47*1000</f>
        <v>8.434592731125214</v>
      </c>
    </row>
    <row r="48" spans="2:7" ht="20.100000000000001" customHeight="1" thickBot="1" x14ac:dyDescent="0.25">
      <c r="B48" s="9" t="s">
        <v>66</v>
      </c>
      <c r="C48" s="14">
        <f>[993]NºAsuntos!$E$36/Población!$F$48*1000</f>
        <v>108.32687529915894</v>
      </c>
      <c r="D48" s="14">
        <f>[993]NºAsuntos!$E$17/Población!$F$48*1000</f>
        <v>25.650741914161326</v>
      </c>
      <c r="E48" s="14">
        <f>[993]NºAsuntos!$E$28/Población!$F$48*1000</f>
        <v>74.561803387048982</v>
      </c>
      <c r="F48" s="14">
        <f>[993]NºAsuntos!$E$31/Población!$F$48*1000</f>
        <v>2.632598636974905</v>
      </c>
      <c r="G48" s="14">
        <f>[993]NºAsuntos!$E$35/Población!$F$48*1000</f>
        <v>5.4817313609737202</v>
      </c>
    </row>
    <row r="49" spans="2:7" ht="20.100000000000001" customHeight="1" thickBot="1" x14ac:dyDescent="0.25">
      <c r="B49" s="9" t="s">
        <v>67</v>
      </c>
      <c r="C49" s="14">
        <f>[994]NºAsuntos!$E$36/Población!$F$49*1000</f>
        <v>174.88356462432628</v>
      </c>
      <c r="D49" s="14">
        <f>[994]NºAsuntos!$E$17/Población!$F$49*1000</f>
        <v>29.864973740106763</v>
      </c>
      <c r="E49" s="14">
        <f>[994]NºAsuntos!$E$28/Población!$F$49*1000</f>
        <v>136.63115082528014</v>
      </c>
      <c r="F49" s="14">
        <f>[994]NºAsuntos!$E$31/Población!$F$49*1000</f>
        <v>2.5312038189941535</v>
      </c>
      <c r="G49" s="14">
        <f>[994]NºAsuntos!$E$35/Población!$F$49*1000</f>
        <v>5.8562362399451962</v>
      </c>
    </row>
    <row r="50" spans="2:7" ht="20.100000000000001" customHeight="1" thickBot="1" x14ac:dyDescent="0.25">
      <c r="B50" s="9" t="s">
        <v>68</v>
      </c>
      <c r="C50" s="14">
        <f>[995]NºAsuntos!$E$36/Población!$F$50*1000</f>
        <v>112.93894129979036</v>
      </c>
      <c r="D50" s="14">
        <f>[995]NºAsuntos!$E$17/Población!$F$50*1000</f>
        <v>24.331761006289309</v>
      </c>
      <c r="E50" s="14">
        <f>[995]NºAsuntos!$E$28/Población!$F$50*1000</f>
        <v>82.272012578616355</v>
      </c>
      <c r="F50" s="14">
        <f>[995]NºAsuntos!$E$31/Población!$F$50*1000</f>
        <v>1.7492138364779874</v>
      </c>
      <c r="G50" s="14">
        <f>[995]NºAsuntos!$E$35/Población!$F$50*1000</f>
        <v>4.5859538784067091</v>
      </c>
    </row>
    <row r="51" spans="2:7" ht="20.100000000000001" customHeight="1" thickBot="1" x14ac:dyDescent="0.25">
      <c r="B51" s="9" t="s">
        <v>69</v>
      </c>
      <c r="C51" s="14">
        <f>[996]NºAsuntos!$E$36/Población!$F$51*1000</f>
        <v>222.42331596389241</v>
      </c>
      <c r="D51" s="14">
        <f>[996]NºAsuntos!$E$17/Población!$F$51*1000</f>
        <v>26.68459401256402</v>
      </c>
      <c r="E51" s="14">
        <f>[996]NºAsuntos!$E$28/Población!$F$51*1000</f>
        <v>186.65212394416486</v>
      </c>
      <c r="F51" s="14">
        <f>[996]NºAsuntos!$E$31/Población!$F$51*1000</f>
        <v>3.5382332265875189</v>
      </c>
      <c r="G51" s="14">
        <f>[996]NºAsuntos!$E$35/Población!$F$51*1000</f>
        <v>5.548364780575981</v>
      </c>
    </row>
    <row r="52" spans="2:7" ht="20.100000000000001" customHeight="1" thickBot="1" x14ac:dyDescent="0.25">
      <c r="B52" s="9" t="s">
        <v>70</v>
      </c>
      <c r="C52" s="14">
        <f>[997]NºAsuntos!$E$36/Población!$F$52*1000</f>
        <v>115.77488761838258</v>
      </c>
      <c r="D52" s="14">
        <f>[997]NºAsuntos!$E$17/Población!$F$52*1000</f>
        <v>30.626718456771265</v>
      </c>
      <c r="E52" s="14">
        <f>[997]NºAsuntos!$E$28/Población!$F$52*1000</f>
        <v>76.888665822895305</v>
      </c>
      <c r="F52" s="14">
        <f>[997]NºAsuntos!$E$31/Población!$F$52*1000</f>
        <v>2.7604416706673067</v>
      </c>
      <c r="G52" s="14">
        <f>[997]NºAsuntos!$E$35/Población!$F$52*1000</f>
        <v>5.4990616680487063</v>
      </c>
    </row>
    <row r="53" spans="2:7" ht="20.100000000000001" customHeight="1" thickBot="1" x14ac:dyDescent="0.25">
      <c r="B53" s="9" t="s">
        <v>71</v>
      </c>
      <c r="C53" s="14">
        <f>[998]NºAsuntos!$E$36/Población!$F$53*1000</f>
        <v>198.33448046708122</v>
      </c>
      <c r="D53" s="14">
        <f>[998]NºAsuntos!$E$17/Población!$F$53*1000</f>
        <v>29.22521004414487</v>
      </c>
      <c r="E53" s="14">
        <f>[998]NºAsuntos!$E$28/Población!$F$53*1000</f>
        <v>163.51699340200312</v>
      </c>
      <c r="F53" s="14">
        <f>[998]NºAsuntos!$E$31/Población!$F$53*1000</f>
        <v>1.3276095314947549</v>
      </c>
      <c r="G53" s="14">
        <f>[998]NºAsuntos!$E$35/Población!$F$53*1000</f>
        <v>4.264667489438458</v>
      </c>
    </row>
    <row r="54" spans="2:7" ht="20.100000000000001" customHeight="1" thickBot="1" x14ac:dyDescent="0.25">
      <c r="B54" s="9" t="s">
        <v>72</v>
      </c>
      <c r="C54" s="14">
        <f>[999]NºAsuntos!$E$36/Población!$F$54*1000</f>
        <v>77.583917664874789</v>
      </c>
      <c r="D54" s="14">
        <f>[999]NºAsuntos!$E$17/Población!$F$54*1000</f>
        <v>14.275153768310451</v>
      </c>
      <c r="E54" s="14">
        <f>[999]NºAsuntos!$E$28/Población!$F$54*1000</f>
        <v>59.418802437326406</v>
      </c>
      <c r="F54" s="14">
        <f>[999]NºAsuntos!$E$31/Población!$F$54*1000</f>
        <v>1.4210560312345244</v>
      </c>
      <c r="G54" s="14">
        <f>[999]NºAsuntos!$E$35/Población!$F$54*1000</f>
        <v>2.4689054280034162</v>
      </c>
    </row>
    <row r="55" spans="2:7" ht="20.100000000000001" customHeight="1" thickBot="1" x14ac:dyDescent="0.25">
      <c r="B55" s="9" t="s">
        <v>73</v>
      </c>
      <c r="C55" s="14">
        <f>[1000]NºAsuntos!$E$36/Población!$F$55*1000</f>
        <v>97.936200394422713</v>
      </c>
      <c r="D55" s="14">
        <f>[1000]NºAsuntos!$E$17/Población!$F$55*1000</f>
        <v>20.342179012559249</v>
      </c>
      <c r="E55" s="14">
        <f>[1000]NºAsuntos!$E$28/Población!$F$55*1000</f>
        <v>71.838563470919979</v>
      </c>
      <c r="F55" s="14">
        <f>[1000]NºAsuntos!$E$31/Población!$F$55*1000</f>
        <v>1.7264643808601181</v>
      </c>
      <c r="G55" s="14">
        <f>[1000]NºAsuntos!$E$35/Población!$F$55*1000</f>
        <v>4.0289935300833823</v>
      </c>
    </row>
    <row r="56" spans="2:7" ht="20.100000000000001" customHeight="1" thickBot="1" x14ac:dyDescent="0.25">
      <c r="B56" s="9" t="s">
        <v>74</v>
      </c>
      <c r="C56" s="14">
        <f>[1001]NºAsuntos!$E$36/Población!$F$56*1000</f>
        <v>193.13889116158714</v>
      </c>
      <c r="D56" s="14">
        <f>[1001]NºAsuntos!$E$17/Población!$F$56*1000</f>
        <v>30.337201065403264</v>
      </c>
      <c r="E56" s="14">
        <f>[1001]NºAsuntos!$E$28/Población!$F$56*1000</f>
        <v>153.06799428043101</v>
      </c>
      <c r="F56" s="14">
        <f>[1001]NºAsuntos!$E$31/Población!$F$56*1000</f>
        <v>2.5431140280781155</v>
      </c>
      <c r="G56" s="14">
        <f>[1001]NºAsuntos!$E$35/Población!$F$56*1000</f>
        <v>7.1905817876747786</v>
      </c>
    </row>
    <row r="57" spans="2:7" ht="20.100000000000001" customHeight="1" thickBot="1" x14ac:dyDescent="0.25">
      <c r="B57" s="9" t="s">
        <v>75</v>
      </c>
      <c r="C57" s="14">
        <f>[1002]NºAsuntos!$E$36/Población!$F$57*1000</f>
        <v>127.06342013416513</v>
      </c>
      <c r="D57" s="14">
        <f>[1002]NºAsuntos!$E$17/Población!$F$57*1000</f>
        <v>27.796101890330679</v>
      </c>
      <c r="E57" s="14">
        <f>[1002]NºAsuntos!$E$28/Población!$F$57*1000</f>
        <v>91.245598134920712</v>
      </c>
      <c r="F57" s="14">
        <f>[1002]NºAsuntos!$E$31/Población!$F$57*1000</f>
        <v>1.7910868471586316</v>
      </c>
      <c r="G57" s="14">
        <f>[1002]NºAsuntos!$E$35/Población!$F$57*1000</f>
        <v>6.2306332617551083</v>
      </c>
    </row>
    <row r="58" spans="2:7" ht="20.100000000000001" customHeight="1" thickBot="1" x14ac:dyDescent="0.25">
      <c r="B58" s="9" t="s">
        <v>76</v>
      </c>
      <c r="C58" s="14">
        <f>[1003]NºAsuntos!$E$36/Población!$F$58*1000</f>
        <v>95.35371038262376</v>
      </c>
      <c r="D58" s="14">
        <f>[1003]NºAsuntos!$E$17/Población!$F$58*1000</f>
        <v>22.717656303519977</v>
      </c>
      <c r="E58" s="14">
        <f>[1003]NºAsuntos!$E$28/Población!$F$58*1000</f>
        <v>65.357337148153363</v>
      </c>
      <c r="F58" s="14">
        <f>[1003]NºAsuntos!$E$31/Población!$F$58*1000</f>
        <v>1.5816727448570451</v>
      </c>
      <c r="G58" s="14">
        <f>[1003]NºAsuntos!$E$35/Población!$F$58*1000</f>
        <v>5.6970441860933692</v>
      </c>
    </row>
    <row r="59" spans="2:7" ht="20.100000000000001" customHeight="1" thickBot="1" x14ac:dyDescent="0.25">
      <c r="B59" s="9" t="s">
        <v>77</v>
      </c>
      <c r="C59" s="14">
        <f>[1004]NºAsuntos!$E$36/Población!$F$59*1000</f>
        <v>133.88644341672705</v>
      </c>
      <c r="D59" s="14">
        <f>[1004]NºAsuntos!$E$17/Población!$F$59*1000</f>
        <v>27.383963893686964</v>
      </c>
      <c r="E59" s="14">
        <f>[1004]NºAsuntos!$E$28/Población!$F$59*1000</f>
        <v>97.868167381735105</v>
      </c>
      <c r="F59" s="14">
        <f>[1004]NºAsuntos!$E$31/Población!$F$59*1000</f>
        <v>2.4304897754499359</v>
      </c>
      <c r="G59" s="14">
        <f>[1004]NºAsuntos!$E$35/Población!$F$59*1000</f>
        <v>6.203822365855018</v>
      </c>
    </row>
    <row r="60" spans="2:7" ht="20.100000000000001" customHeight="1" thickBot="1" x14ac:dyDescent="0.25">
      <c r="B60" s="9" t="s">
        <v>78</v>
      </c>
      <c r="C60" s="14">
        <f>[1005]NºAsuntos!$E$61/Población!$F$60*1000</f>
        <v>279.3152409783803</v>
      </c>
      <c r="D60" s="14">
        <f>[1005]NºAsuntos!$E$21/Población!$F$60*1000</f>
        <v>26.897420098052351</v>
      </c>
      <c r="E60" s="14">
        <f>[1005]NºAsuntos!$E$40/Población!$F$60*1000</f>
        <v>238.56725694537468</v>
      </c>
      <c r="F60" s="14">
        <f>[1005]NºAsuntos!$E$47/Población!$F$60*1000</f>
        <v>5.545583625793661</v>
      </c>
      <c r="G60" s="14">
        <f>[1005]NºAsuntos!$E$54/Población!$F$60*1000</f>
        <v>8.3049803091595908</v>
      </c>
    </row>
    <row r="61" spans="2:7" ht="20.100000000000001" customHeight="1" thickBot="1" x14ac:dyDescent="0.25">
      <c r="B61" s="9" t="s">
        <v>79</v>
      </c>
      <c r="C61" s="14">
        <f>[1006]NºAsuntos!$E$61/Población!$F$61*1000</f>
        <v>291.96071512585274</v>
      </c>
      <c r="D61" s="14">
        <f>[1006]NºAsuntos!$E$21/Población!$F$61*1000</f>
        <v>30.830980945659846</v>
      </c>
      <c r="E61" s="14">
        <f>[1006]NºAsuntos!$E$40/Población!$F$61*1000</f>
        <v>232.73935544577745</v>
      </c>
      <c r="F61" s="14">
        <f>[1006]NºAsuntos!$E$47/Población!$F$61*1000</f>
        <v>13.614443660315219</v>
      </c>
      <c r="G61" s="14">
        <f>[1006]NºAsuntos!$E$54/Población!$F$61*1000</f>
        <v>14.775935074100213</v>
      </c>
    </row>
    <row r="62" spans="2:7" ht="20.100000000000001" customHeight="1" thickBot="1" x14ac:dyDescent="0.25">
      <c r="B62" s="12" t="s">
        <v>6</v>
      </c>
      <c r="C62" s="15">
        <f>[1007]NºAsuntos!$E$60/Población!$S$62*1000</f>
        <v>160.04008577490075</v>
      </c>
      <c r="D62" s="15">
        <f>[1007]NºAsuntos!$E$20/Población!$S$62*1000</f>
        <v>25.710053385574017</v>
      </c>
      <c r="E62" s="15">
        <f>[1007]NºAsuntos!$E$39/Población!$S$62*1000</f>
        <v>122.1436459039496</v>
      </c>
      <c r="F62" s="15">
        <f>[1007]NºAsuntos!$E$46/Población!$S$62*1000</f>
        <v>4.6701963311449859</v>
      </c>
      <c r="G62" s="15">
        <f>[1007]NºAsuntos!$E$53/Población!$S$62*1000</f>
        <v>7.508696402389309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0"/>
  <dimension ref="B8:G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7" ht="13.5" thickBot="1" x14ac:dyDescent="0.25"/>
    <row r="9" spans="2: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7" ht="20.100000000000001" customHeight="1" thickBot="1" x14ac:dyDescent="0.25">
      <c r="B10" s="9" t="s">
        <v>31</v>
      </c>
      <c r="C10" s="14">
        <f>[1008]NºAsuntos!$E$36/Población!$E$10*1000</f>
        <v>112.41621432137585</v>
      </c>
      <c r="D10" s="14">
        <f>[1008]NºAsuntos!$E$17/Población!$E$10*1000</f>
        <v>22.740309542272598</v>
      </c>
      <c r="E10" s="14">
        <f>[1008]NºAsuntos!$E$28/Población!$E$10*1000</f>
        <v>82.051540806679483</v>
      </c>
      <c r="F10" s="14">
        <f>[1008]NºAsuntos!$E$31/Población!$E$10*1000</f>
        <v>2.0979615249790204</v>
      </c>
      <c r="G10" s="14">
        <f>[1008]NºAsuntos!$E$35/Población!$E$10*1000</f>
        <v>5.5264024474447364</v>
      </c>
    </row>
    <row r="11" spans="2:7" ht="20.100000000000001" customHeight="1" thickBot="1" x14ac:dyDescent="0.25">
      <c r="B11" s="9" t="s">
        <v>32</v>
      </c>
      <c r="C11" s="14">
        <f>[1009]NºAsuntos!$E$36/Población!$E$11*1000</f>
        <v>206.31249812386935</v>
      </c>
      <c r="D11" s="14">
        <f>[1009]NºAsuntos!$E$17/Población!$E$11*1000</f>
        <v>27.255200940485157</v>
      </c>
      <c r="E11" s="14">
        <f>[1009]NºAsuntos!$E$28/Población!$E$11*1000</f>
        <v>172.30322682220532</v>
      </c>
      <c r="F11" s="14">
        <f>[1009]NºAsuntos!$E$31/Población!$E$11*1000</f>
        <v>1.5756434438958826</v>
      </c>
      <c r="G11" s="14">
        <f>[1009]NºAsuntos!$E$35/Población!$E$11*1000</f>
        <v>5.1784269172830069</v>
      </c>
    </row>
    <row r="12" spans="2:7" ht="20.100000000000001" customHeight="1" thickBot="1" x14ac:dyDescent="0.25">
      <c r="B12" s="9" t="s">
        <v>33</v>
      </c>
      <c r="C12" s="14">
        <f>[1010]NºAsuntos!$E$36/Población!$E$12*1000</f>
        <v>182.70152659602695</v>
      </c>
      <c r="D12" s="14">
        <f>[1010]NºAsuntos!$E$17/Población!$E$12*1000</f>
        <v>24.21680140100122</v>
      </c>
      <c r="E12" s="14">
        <f>[1010]NºAsuntos!$E$28/Población!$E$12*1000</f>
        <v>149.86998284127293</v>
      </c>
      <c r="F12" s="14">
        <f>[1010]NºAsuntos!$E$31/Población!$E$12*1000</f>
        <v>1.517751322283349</v>
      </c>
      <c r="G12" s="14">
        <f>[1010]NºAsuntos!$E$35/Población!$E$12*1000</f>
        <v>7.0969910314694591</v>
      </c>
    </row>
    <row r="13" spans="2:7" ht="20.100000000000001" customHeight="1" thickBot="1" x14ac:dyDescent="0.25">
      <c r="B13" s="9" t="s">
        <v>34</v>
      </c>
      <c r="C13" s="14">
        <f>[1011]NºAsuntos!$E$36/Población!$E$13*1000</f>
        <v>122.0342437831227</v>
      </c>
      <c r="D13" s="14">
        <f>[1011]NºAsuntos!$E$17/Población!$E$13*1000</f>
        <v>25.400869683380893</v>
      </c>
      <c r="E13" s="14">
        <f>[1011]NºAsuntos!$E$28/Población!$E$13*1000</f>
        <v>85.826878651990768</v>
      </c>
      <c r="F13" s="14">
        <f>[1011]NºAsuntos!$E$31/Población!$E$13*1000</f>
        <v>2.6735969561081667</v>
      </c>
      <c r="G13" s="14">
        <f>[1011]NºAsuntos!$E$35/Población!$E$13*1000</f>
        <v>8.1328984916428855</v>
      </c>
    </row>
    <row r="14" spans="2:7" ht="20.100000000000001" customHeight="1" thickBot="1" x14ac:dyDescent="0.25">
      <c r="B14" s="9" t="s">
        <v>35</v>
      </c>
      <c r="C14" s="14">
        <f>[1012]NºAsuntos!$E$36/Población!$E$14*1000</f>
        <v>127.24420461213282</v>
      </c>
      <c r="D14" s="14">
        <f>[1012]NºAsuntos!$E$17/Población!$E$14*1000</f>
        <v>29.498382433760685</v>
      </c>
      <c r="E14" s="14">
        <f>[1012]NºAsuntos!$E$28/Población!$E$14*1000</f>
        <v>83.250494475911339</v>
      </c>
      <c r="F14" s="14">
        <f>[1012]NºAsuntos!$E$31/Población!$E$14*1000</f>
        <v>1.8179603321985416</v>
      </c>
      <c r="G14" s="14">
        <f>[1012]NºAsuntos!$E$35/Población!$E$14*1000</f>
        <v>12.67736737026226</v>
      </c>
    </row>
    <row r="15" spans="2:7" ht="20.100000000000001" customHeight="1" thickBot="1" x14ac:dyDescent="0.25">
      <c r="B15" s="9" t="s">
        <v>36</v>
      </c>
      <c r="C15" s="14">
        <f>[1013]NºAsuntos!$E$36/Población!$E$15*1000</f>
        <v>102.71331883007009</v>
      </c>
      <c r="D15" s="14">
        <f>[1013]NºAsuntos!$E$17/Población!$E$15*1000</f>
        <v>20.099105632100557</v>
      </c>
      <c r="E15" s="14">
        <f>[1013]NºAsuntos!$E$28/Población!$E$15*1000</f>
        <v>78.915881073241479</v>
      </c>
      <c r="F15" s="14">
        <f>[1013]NºAsuntos!$E$31/Población!$E$15*1000</f>
        <v>1.4382402707275805</v>
      </c>
      <c r="G15" s="14">
        <f>[1013]NºAsuntos!$E$35/Población!$E$15*1000</f>
        <v>2.2600918540004833</v>
      </c>
    </row>
    <row r="16" spans="2:7" ht="20.100000000000001" customHeight="1" thickBot="1" x14ac:dyDescent="0.25">
      <c r="B16" s="9" t="s">
        <v>37</v>
      </c>
      <c r="C16" s="14">
        <f>[1014]NºAsuntos!$E$36/Población!$E$16*1000</f>
        <v>120.56995334332616</v>
      </c>
      <c r="D16" s="14">
        <f>[1014]NºAsuntos!$E$17/Población!$E$16*1000</f>
        <v>21.538373380060378</v>
      </c>
      <c r="E16" s="14">
        <f>[1014]NºAsuntos!$E$28/Población!$E$16*1000</f>
        <v>93.780819191063159</v>
      </c>
      <c r="F16" s="14">
        <f>[1014]NºAsuntos!$E$31/Población!$E$16*1000</f>
        <v>1.3541594409643787</v>
      </c>
      <c r="G16" s="14">
        <f>[1014]NºAsuntos!$E$35/Población!$E$16*1000</f>
        <v>3.8966013312382568</v>
      </c>
    </row>
    <row r="17" spans="2:7" ht="20.100000000000001" customHeight="1" thickBot="1" x14ac:dyDescent="0.25">
      <c r="B17" s="9" t="s">
        <v>29</v>
      </c>
      <c r="C17" s="14">
        <f>[1015]NºAsuntos!$E$36/Población!$E$17*1000</f>
        <v>206.96334343507914</v>
      </c>
      <c r="D17" s="14">
        <f>[1015]NºAsuntos!$E$17/Población!$E$17*1000</f>
        <v>33.298816396283996</v>
      </c>
      <c r="E17" s="14">
        <f>[1015]NºAsuntos!$E$28/Población!$E$17*1000</f>
        <v>168.37615227985953</v>
      </c>
      <c r="F17" s="14">
        <f>[1015]NºAsuntos!$E$31/Población!$E$17*1000</f>
        <v>0.883506920804213</v>
      </c>
      <c r="G17" s="14">
        <f>[1015]NºAsuntos!$E$35/Población!$E$17*1000</f>
        <v>4.4048678381313984</v>
      </c>
    </row>
    <row r="18" spans="2:7" ht="20.100000000000001" customHeight="1" thickBot="1" x14ac:dyDescent="0.25">
      <c r="B18" s="9" t="s">
        <v>38</v>
      </c>
      <c r="C18" s="14">
        <f>[1016]NºAsuntos!$E$36/Población!$E$18*1000</f>
        <v>157.96195513418064</v>
      </c>
      <c r="D18" s="14">
        <f>[1016]NºAsuntos!$E$17/Población!$E$18*1000</f>
        <v>27.394844622621008</v>
      </c>
      <c r="E18" s="14">
        <f>[1016]NºAsuntos!$E$28/Población!$E$18*1000</f>
        <v>121.52970332889606</v>
      </c>
      <c r="F18" s="14">
        <f>[1016]NºAsuntos!$E$31/Población!$E$18*1000</f>
        <v>1.0758676706514936</v>
      </c>
      <c r="G18" s="14">
        <f>[1016]NºAsuntos!$E$35/Población!$E$18*1000</f>
        <v>7.9615395120120755</v>
      </c>
    </row>
    <row r="19" spans="2:7" ht="20.100000000000001" customHeight="1" thickBot="1" x14ac:dyDescent="0.25">
      <c r="B19" s="9" t="s">
        <v>39</v>
      </c>
      <c r="C19" s="14">
        <f>[1017]NºAsuntos!$E$36/Población!$E$19*1000</f>
        <v>119.8391075568982</v>
      </c>
      <c r="D19" s="14">
        <f>[1017]NºAsuntos!$E$17/Población!$E$19*1000</f>
        <v>23.226001122259198</v>
      </c>
      <c r="E19" s="14">
        <f>[1017]NºAsuntos!$E$28/Población!$E$19*1000</f>
        <v>87.214185638611355</v>
      </c>
      <c r="F19" s="14">
        <f>[1017]NºAsuntos!$E$31/Población!$E$19*1000</f>
        <v>1.3834138560190854</v>
      </c>
      <c r="G19" s="14">
        <f>[1017]NºAsuntos!$E$35/Población!$E$19*1000</f>
        <v>8.0155069400085406</v>
      </c>
    </row>
    <row r="20" spans="2:7" ht="20.100000000000001" customHeight="1" thickBot="1" x14ac:dyDescent="0.25">
      <c r="B20" s="9" t="s">
        <v>40</v>
      </c>
      <c r="C20" s="14">
        <f>[1018]NºAsuntos!$E$36/Población!$E$20*1000</f>
        <v>136.78579974944046</v>
      </c>
      <c r="D20" s="14">
        <f>[1018]NºAsuntos!$E$17/Población!$E$20*1000</f>
        <v>28.439914978674288</v>
      </c>
      <c r="E20" s="14">
        <f>[1018]NºAsuntos!$E$28/Población!$E$20*1000</f>
        <v>98.633183654509367</v>
      </c>
      <c r="F20" s="14">
        <f>[1018]NºAsuntos!$E$31/Población!$E$20*1000</f>
        <v>1.3654087076476964</v>
      </c>
      <c r="G20" s="14">
        <f>[1018]NºAsuntos!$E$35/Población!$E$20*1000</f>
        <v>8.3472924086091123</v>
      </c>
    </row>
    <row r="21" spans="2:7" ht="20.100000000000001" customHeight="1" thickBot="1" x14ac:dyDescent="0.25">
      <c r="B21" s="9" t="s">
        <v>41</v>
      </c>
      <c r="C21" s="14">
        <f>[1019]NºAsuntos!$E$36/Población!$E$21*1000</f>
        <v>98.565592727662249</v>
      </c>
      <c r="D21" s="14">
        <f>[1019]NºAsuntos!$E$17/Población!$E$21*1000</f>
        <v>20.60073716653439</v>
      </c>
      <c r="E21" s="14">
        <f>[1019]NºAsuntos!$E$28/Población!$E$21*1000</f>
        <v>71.457437640288049</v>
      </c>
      <c r="F21" s="14">
        <f>[1019]NºAsuntos!$E$31/Población!$E$21*1000</f>
        <v>1.3535818795312129</v>
      </c>
      <c r="G21" s="14">
        <f>[1019]NºAsuntos!$E$35/Población!$E$21*1000</f>
        <v>5.1538360413085922</v>
      </c>
    </row>
    <row r="22" spans="2:7" ht="20.100000000000001" customHeight="1" thickBot="1" x14ac:dyDescent="0.25">
      <c r="B22" s="9" t="s">
        <v>42</v>
      </c>
      <c r="C22" s="14">
        <f>[1020]NºAsuntos!$E$36/Población!$E$22*1000</f>
        <v>168.44765705306801</v>
      </c>
      <c r="D22" s="14">
        <f>[1020]NºAsuntos!$E$17/Población!$E$22*1000</f>
        <v>25.832292138953591</v>
      </c>
      <c r="E22" s="14">
        <f>[1020]NºAsuntos!$E$28/Población!$E$22*1000</f>
        <v>135.87327078091309</v>
      </c>
      <c r="F22" s="14">
        <f>[1020]NºAsuntos!$E$31/Población!$E$22*1000</f>
        <v>1.5989976845682878</v>
      </c>
      <c r="G22" s="14">
        <f>[1020]NºAsuntos!$E$35/Población!$E$22*1000</f>
        <v>5.1430964486330648</v>
      </c>
    </row>
    <row r="23" spans="2:7" ht="20.100000000000001" customHeight="1" thickBot="1" x14ac:dyDescent="0.25">
      <c r="B23" s="9" t="s">
        <v>5</v>
      </c>
      <c r="C23" s="14">
        <f>[1021]NºAsuntos!$E$36/Población!$E$23*1000</f>
        <v>142.60583237824954</v>
      </c>
      <c r="D23" s="14">
        <f>[1021]NºAsuntos!$E$17/Población!$E$23*1000</f>
        <v>31.948916662118645</v>
      </c>
      <c r="E23" s="14">
        <f>[1021]NºAsuntos!$E$28/Población!$E$23*1000</f>
        <v>100.74405574050829</v>
      </c>
      <c r="F23" s="14">
        <f>[1021]NºAsuntos!$E$31/Población!$E$23*1000</f>
        <v>1.7628117666321017</v>
      </c>
      <c r="G23" s="14">
        <f>[1021]NºAsuntos!$E$35/Población!$E$23*1000</f>
        <v>8.1500482089905208</v>
      </c>
    </row>
    <row r="24" spans="2:7" ht="20.100000000000001" customHeight="1" thickBot="1" x14ac:dyDescent="0.25">
      <c r="B24" s="9" t="s">
        <v>43</v>
      </c>
      <c r="C24" s="14">
        <f>[1022]NºAsuntos!$E$36/Población!$E$24*1000</f>
        <v>165.14195187934524</v>
      </c>
      <c r="D24" s="14">
        <f>[1022]NºAsuntos!$E$17/Población!$E$24*1000</f>
        <v>25.609805514444108</v>
      </c>
      <c r="E24" s="14">
        <f>[1022]NºAsuntos!$E$28/Población!$E$24*1000</f>
        <v>132.64150324464194</v>
      </c>
      <c r="F24" s="14">
        <f>[1022]NºAsuntos!$E$31/Población!$E$24*1000</f>
        <v>1.2909101785083716</v>
      </c>
      <c r="G24" s="14">
        <f>[1022]NºAsuntos!$E$35/Población!$E$24*1000</f>
        <v>5.5997329417508137</v>
      </c>
    </row>
    <row r="25" spans="2:7" ht="20.100000000000001" customHeight="1" thickBot="1" x14ac:dyDescent="0.25">
      <c r="B25" s="9" t="s">
        <v>44</v>
      </c>
      <c r="C25" s="14">
        <f>[1023]NºAsuntos!$E$36/Población!$E$25*1000</f>
        <v>117.55080279697336</v>
      </c>
      <c r="D25" s="14">
        <f>[1023]NºAsuntos!$E$17/Población!$E$25*1000</f>
        <v>18.682715770910658</v>
      </c>
      <c r="E25" s="14">
        <f>[1023]NºAsuntos!$E$28/Población!$E$25*1000</f>
        <v>92.367789693850341</v>
      </c>
      <c r="F25" s="14">
        <f>[1023]NºAsuntos!$E$31/Población!$E$25*1000</f>
        <v>1.0826993663748026</v>
      </c>
      <c r="G25" s="14">
        <f>[1023]NºAsuntos!$E$35/Población!$E$25*1000</f>
        <v>5.4175979658375537</v>
      </c>
    </row>
    <row r="26" spans="2:7" ht="20.100000000000001" customHeight="1" thickBot="1" x14ac:dyDescent="0.25">
      <c r="B26" s="9" t="s">
        <v>45</v>
      </c>
      <c r="C26" s="14">
        <f>[1024]NºAsuntos!$E$36/Población!$E$26*1000</f>
        <v>137.55760725000775</v>
      </c>
      <c r="D26" s="14">
        <f>[1024]NºAsuntos!$E$17/Población!$E$26*1000</f>
        <v>20.854597754477126</v>
      </c>
      <c r="E26" s="14">
        <f>[1024]NºAsuntos!$E$28/Población!$E$26*1000</f>
        <v>106.30148567422391</v>
      </c>
      <c r="F26" s="14">
        <f>[1024]NºAsuntos!$E$31/Población!$E$26*1000</f>
        <v>2.3906364376810694</v>
      </c>
      <c r="G26" s="14">
        <f>[1024]NºAsuntos!$E$35/Población!$E$26*1000</f>
        <v>8.0108873836256222</v>
      </c>
    </row>
    <row r="27" spans="2:7" ht="20.100000000000001" customHeight="1" thickBot="1" x14ac:dyDescent="0.25">
      <c r="B27" s="9" t="s">
        <v>46</v>
      </c>
      <c r="C27" s="14">
        <f>[1025]NºAsuntos!$E$36/Población!$E$27*1000</f>
        <v>114.49357342074599</v>
      </c>
      <c r="D27" s="14">
        <f>[1025]NºAsuntos!$E$17/Población!$E$27*1000</f>
        <v>24.294842855281964</v>
      </c>
      <c r="E27" s="14">
        <f>[1025]NºAsuntos!$E$28/Población!$E$27*1000</f>
        <v>81.499695756833873</v>
      </c>
      <c r="F27" s="14">
        <f>[1025]NºAsuntos!$E$31/Población!$E$27*1000</f>
        <v>1.9842721450659966</v>
      </c>
      <c r="G27" s="14">
        <f>[1025]NºAsuntos!$E$35/Población!$E$27*1000</f>
        <v>6.7147626635641595</v>
      </c>
    </row>
    <row r="28" spans="2:7" ht="20.100000000000001" customHeight="1" thickBot="1" x14ac:dyDescent="0.25">
      <c r="B28" s="9" t="s">
        <v>47</v>
      </c>
      <c r="C28" s="14">
        <f>[1026]NºAsuntos!$E$36/Población!$E$28*1000</f>
        <v>104.48709737809264</v>
      </c>
      <c r="D28" s="14">
        <f>[1026]NºAsuntos!$E$17/Población!$E$28*1000</f>
        <v>16.085170113606136</v>
      </c>
      <c r="E28" s="14">
        <f>[1026]NºAsuntos!$E$28/Población!$E$28*1000</f>
        <v>82.756106452788913</v>
      </c>
      <c r="F28" s="14">
        <f>[1026]NºAsuntos!$E$31/Población!$E$28*1000</f>
        <v>1.6208333743878767</v>
      </c>
      <c r="G28" s="14">
        <f>[1026]NºAsuntos!$E$35/Población!$E$28*1000</f>
        <v>4.0249874373097123</v>
      </c>
    </row>
    <row r="29" spans="2:7" ht="20.100000000000001" customHeight="1" thickBot="1" x14ac:dyDescent="0.25">
      <c r="B29" s="9" t="s">
        <v>48</v>
      </c>
      <c r="C29" s="14">
        <f>[1027]NºAsuntos!$E$36/Población!$E$10*1000</f>
        <v>183.11751771316884</v>
      </c>
      <c r="D29" s="14">
        <f>[1027]NºAsuntos!$E$17/Población!$E$10*1000</f>
        <v>37.006447912129936</v>
      </c>
      <c r="E29" s="14">
        <f>[1027]NºAsuntos!$E$28/Población!$E$10*1000</f>
        <v>133.20462295116795</v>
      </c>
      <c r="F29" s="14">
        <f>[1027]NºAsuntos!$E$31/Población!$E$10*1000</f>
        <v>1.5801102624841989</v>
      </c>
      <c r="G29" s="14">
        <f>[1027]NºAsuntos!$E$35/Población!$E$10*1000</f>
        <v>11.326336587386736</v>
      </c>
    </row>
    <row r="30" spans="2:7" ht="20.100000000000001" customHeight="1" thickBot="1" x14ac:dyDescent="0.25">
      <c r="B30" s="9" t="s">
        <v>49</v>
      </c>
      <c r="C30" s="14">
        <f>[1028]NºAsuntos!$E$36/Población!$E$30*1000</f>
        <v>147.7104755265519</v>
      </c>
      <c r="D30" s="14">
        <f>[1028]NºAsuntos!$E$17/Población!$E$30*1000</f>
        <v>21.123396784208929</v>
      </c>
      <c r="E30" s="14">
        <f>[1028]NºAsuntos!$E$28/Población!$E$30*1000</f>
        <v>121.2989678743634</v>
      </c>
      <c r="F30" s="14">
        <f>[1028]NºAsuntos!$E$31/Población!$E$30*1000</f>
        <v>1.1441167547749527</v>
      </c>
      <c r="G30" s="14">
        <f>[1028]NºAsuntos!$E$35/Población!$E$30*1000</f>
        <v>4.1439941132046245</v>
      </c>
    </row>
    <row r="31" spans="2:7" ht="20.100000000000001" customHeight="1" thickBot="1" x14ac:dyDescent="0.25">
      <c r="B31" s="9" t="s">
        <v>50</v>
      </c>
      <c r="C31" s="14">
        <f>[1029]NºAsuntos!$E$36/Población!$E$31*1000</f>
        <v>181.10340813445606</v>
      </c>
      <c r="D31" s="14">
        <f>[1029]NºAsuntos!$E$17/Población!$E$31*1000</f>
        <v>30.900596178996192</v>
      </c>
      <c r="E31" s="14">
        <f>[1029]NºAsuntos!$E$28/Población!$E$31*1000</f>
        <v>138.53765274294264</v>
      </c>
      <c r="F31" s="14">
        <f>[1029]NºAsuntos!$E$31/Población!$E$31*1000</f>
        <v>1.8004919654102671</v>
      </c>
      <c r="G31" s="14">
        <f>[1029]NºAsuntos!$E$35/Población!$E$31*1000</f>
        <v>9.8646672471069561</v>
      </c>
    </row>
    <row r="32" spans="2:7" ht="20.100000000000001" customHeight="1" thickBot="1" x14ac:dyDescent="0.25">
      <c r="B32" s="9" t="s">
        <v>51</v>
      </c>
      <c r="C32" s="14">
        <f>[1030]NºAsuntos!$E$36/Población!$E$32*1000</f>
        <v>128.28213118819889</v>
      </c>
      <c r="D32" s="14">
        <f>[1030]NºAsuntos!$E$17/Población!$E$32*1000</f>
        <v>22.574592665279233</v>
      </c>
      <c r="E32" s="14">
        <f>[1030]NºAsuntos!$E$28/Población!$E$32*1000</f>
        <v>97.037859753927776</v>
      </c>
      <c r="F32" s="14">
        <f>[1030]NºAsuntos!$E$31/Población!$E$32*1000</f>
        <v>1.9032317198097848</v>
      </c>
      <c r="G32" s="14">
        <f>[1030]NºAsuntos!$E$35/Población!$E$32*1000</f>
        <v>6.7664470491820961</v>
      </c>
    </row>
    <row r="33" spans="2:7" ht="20.100000000000001" customHeight="1" thickBot="1" x14ac:dyDescent="0.25">
      <c r="B33" s="9" t="s">
        <v>52</v>
      </c>
      <c r="C33" s="14">
        <f>[1031]NºAsuntos!$E$36/Población!$E$33*1000</f>
        <v>160.83531239549072</v>
      </c>
      <c r="D33" s="14">
        <f>[1031]NºAsuntos!$E$17/Población!$E$33*1000</f>
        <v>24.305423265304395</v>
      </c>
      <c r="E33" s="14">
        <f>[1031]NºAsuntos!$E$28/Población!$E$33*1000</f>
        <v>129.7439284066327</v>
      </c>
      <c r="F33" s="14">
        <f>[1031]NºAsuntos!$E$31/Población!$E$33*1000</f>
        <v>1.75893117943638</v>
      </c>
      <c r="G33" s="14">
        <f>[1031]NºAsuntos!$E$35/Población!$E$33*1000</f>
        <v>5.0270295441172115</v>
      </c>
    </row>
    <row r="34" spans="2:7" ht="20.100000000000001" customHeight="1" thickBot="1" x14ac:dyDescent="0.25">
      <c r="B34" s="9" t="s">
        <v>53</v>
      </c>
      <c r="C34" s="14">
        <f>[1032]NºAsuntos!$E$36/Población!$E$34*1000</f>
        <v>101.20878808818378</v>
      </c>
      <c r="D34" s="14">
        <f>[1032]NºAsuntos!$E$17/Población!$E$34*1000</f>
        <v>20.469884422062986</v>
      </c>
      <c r="E34" s="14">
        <f>[1032]NºAsuntos!$E$28/Población!$E$34*1000</f>
        <v>75.6084170271575</v>
      </c>
      <c r="F34" s="14">
        <f>[1032]NºAsuntos!$E$31/Población!$E$34*1000</f>
        <v>1.197429077175014</v>
      </c>
      <c r="G34" s="14">
        <f>[1032]NºAsuntos!$E$35/Población!$E$34*1000</f>
        <v>3.9330575617882872</v>
      </c>
    </row>
    <row r="35" spans="2:7" ht="20.100000000000001" customHeight="1" thickBot="1" x14ac:dyDescent="0.25">
      <c r="B35" s="9" t="s">
        <v>54</v>
      </c>
      <c r="C35" s="14">
        <f>[1033]NºAsuntos!$E$36/Población!$E$35*1000</f>
        <v>109.54547896219104</v>
      </c>
      <c r="D35" s="14">
        <f>[1033]NºAsuntos!$E$17/Población!$E$35*1000</f>
        <v>21.141405692448185</v>
      </c>
      <c r="E35" s="14">
        <f>[1033]NºAsuntos!$E$28/Población!$E$35*1000</f>
        <v>82.832871624473384</v>
      </c>
      <c r="F35" s="14">
        <f>[1033]NºAsuntos!$E$31/Población!$E$35*1000</f>
        <v>1.2508345291720702</v>
      </c>
      <c r="G35" s="14">
        <f>[1033]NºAsuntos!$E$35/Población!$E$35*1000</f>
        <v>4.3203671160973958</v>
      </c>
    </row>
    <row r="36" spans="2:7" ht="20.100000000000001" customHeight="1" thickBot="1" x14ac:dyDescent="0.25">
      <c r="B36" s="9" t="s">
        <v>55</v>
      </c>
      <c r="C36" s="14">
        <f>[1034]NºAsuntos!$E$36/Población!$E$36*1000</f>
        <v>130.08318581929765</v>
      </c>
      <c r="D36" s="14">
        <f>[1034]NºAsuntos!$E$17/Población!$E$36*1000</f>
        <v>29.01826217041198</v>
      </c>
      <c r="E36" s="14">
        <f>[1034]NºAsuntos!$E$28/Población!$E$36*1000</f>
        <v>90.087056802648391</v>
      </c>
      <c r="F36" s="14">
        <f>[1034]NºAsuntos!$E$31/Población!$E$36*1000</f>
        <v>1.4959737740877987</v>
      </c>
      <c r="G36" s="14">
        <f>[1034]NºAsuntos!$E$35/Población!$E$36*1000</f>
        <v>9.4818930721494841</v>
      </c>
    </row>
    <row r="37" spans="2:7" ht="20.100000000000001" customHeight="1" thickBot="1" x14ac:dyDescent="0.25">
      <c r="B37" s="9" t="s">
        <v>56</v>
      </c>
      <c r="C37" s="14">
        <f>[1035]NºAsuntos!$E$36/Población!$E$37*1000</f>
        <v>123.77958844293096</v>
      </c>
      <c r="D37" s="14">
        <f>[1035]NºAsuntos!$E$17/Población!$E$37*1000</f>
        <v>23.363582680814218</v>
      </c>
      <c r="E37" s="14">
        <f>[1035]NºAsuntos!$E$28/Población!$E$37*1000</f>
        <v>96.639912720878939</v>
      </c>
      <c r="F37" s="14">
        <f>[1035]NºAsuntos!$E$31/Población!$E$37*1000</f>
        <v>0.92681105500226402</v>
      </c>
      <c r="G37" s="14">
        <f>[1035]NºAsuntos!$E$35/Población!$E$37*1000</f>
        <v>2.8492819862355319</v>
      </c>
    </row>
    <row r="38" spans="2:7" ht="20.100000000000001" customHeight="1" thickBot="1" x14ac:dyDescent="0.25">
      <c r="B38" s="9" t="s">
        <v>57</v>
      </c>
      <c r="C38" s="14">
        <f>[1036]NºAsuntos!$E$36/Población!$E$38*1000</f>
        <v>101.19496715781999</v>
      </c>
      <c r="D38" s="14">
        <f>[1036]NºAsuntos!$E$17/Población!$E$38*1000</f>
        <v>25.721751287058407</v>
      </c>
      <c r="E38" s="14">
        <f>[1036]NºAsuntos!$E$28/Población!$E$38*1000</f>
        <v>65.756479673353454</v>
      </c>
      <c r="F38" s="14">
        <f>[1036]NºAsuntos!$E$31/Población!$E$38*1000</f>
        <v>1.2093910882300727</v>
      </c>
      <c r="G38" s="14">
        <f>[1036]NºAsuntos!$E$35/Población!$E$38*1000</f>
        <v>8.5073451091780576</v>
      </c>
    </row>
    <row r="39" spans="2:7" ht="20.100000000000001" customHeight="1" thickBot="1" x14ac:dyDescent="0.25">
      <c r="B39" s="9" t="s">
        <v>58</v>
      </c>
      <c r="C39" s="14">
        <f>[1037]NºAsuntos!$E$36/Población!$E$39*1000</f>
        <v>187.51790103833889</v>
      </c>
      <c r="D39" s="14">
        <f>[1037]NºAsuntos!$E$17/Población!$E$39*1000</f>
        <v>27.547053283631833</v>
      </c>
      <c r="E39" s="14">
        <f>[1037]NºAsuntos!$E$28/Población!$E$39*1000</f>
        <v>149.39266738498137</v>
      </c>
      <c r="F39" s="14">
        <f>[1037]NºAsuntos!$E$31/Población!$E$39*1000</f>
        <v>1.9026246463069569</v>
      </c>
      <c r="G39" s="14">
        <f>[1037]NºAsuntos!$E$35/Población!$E$39*1000</f>
        <v>8.675555723418773</v>
      </c>
    </row>
    <row r="40" spans="2:7" ht="20.100000000000001" customHeight="1" thickBot="1" x14ac:dyDescent="0.25">
      <c r="B40" s="9" t="s">
        <v>59</v>
      </c>
      <c r="C40" s="14">
        <f>[1038]NºAsuntos!$E$36/Población!$E$40*1000</f>
        <v>273.60152448559523</v>
      </c>
      <c r="D40" s="14">
        <f>[1038]NºAsuntos!$E$17/Población!$E$40*1000</f>
        <v>32.706616529322346</v>
      </c>
      <c r="E40" s="14">
        <f>[1038]NºAsuntos!$E$28/Población!$E$40*1000</f>
        <v>227.79640553062427</v>
      </c>
      <c r="F40" s="14">
        <f>[1038]NºAsuntos!$E$31/Población!$E$40*1000</f>
        <v>2.5347482344042067</v>
      </c>
      <c r="G40" s="14">
        <f>[1038]NºAsuntos!$E$35/Población!$E$40*1000</f>
        <v>10.56375419124439</v>
      </c>
    </row>
    <row r="41" spans="2:7" ht="20.100000000000001" customHeight="1" thickBot="1" x14ac:dyDescent="0.25">
      <c r="B41" s="9" t="s">
        <v>60</v>
      </c>
      <c r="C41" s="14">
        <f>[1039]NºAsuntos!$E$36/Población!$E$41*1000</f>
        <v>155.75270045618208</v>
      </c>
      <c r="D41" s="14">
        <f>[1039]NºAsuntos!$E$17/Población!$E$41*1000</f>
        <v>24.703954366032949</v>
      </c>
      <c r="E41" s="14">
        <f>[1039]NºAsuntos!$E$28/Población!$E$41*1000</f>
        <v>118.39619296738968</v>
      </c>
      <c r="F41" s="14">
        <f>[1039]NºAsuntos!$E$31/Población!$E$41*1000</f>
        <v>4.4751542273661986</v>
      </c>
      <c r="G41" s="14">
        <f>[1039]NºAsuntos!$E$35/Población!$E$41*1000</f>
        <v>8.1773988953932708</v>
      </c>
    </row>
    <row r="42" spans="2:7" ht="20.100000000000001" customHeight="1" thickBot="1" x14ac:dyDescent="0.25">
      <c r="B42" s="9" t="s">
        <v>61</v>
      </c>
      <c r="C42" s="14">
        <f>[1040]NºAsuntos!$E$36/Población!$E$42*1000</f>
        <v>105.9476660728801</v>
      </c>
      <c r="D42" s="14">
        <f>[1040]NºAsuntos!$E$17/Población!$E$42*1000</f>
        <v>18.472527282475227</v>
      </c>
      <c r="E42" s="14">
        <f>[1040]NºAsuntos!$E$28/Población!$E$42*1000</f>
        <v>81.709067639784848</v>
      </c>
      <c r="F42" s="14">
        <f>[1040]NºAsuntos!$E$31/Población!$E$42*1000</f>
        <v>1.2400338977188219</v>
      </c>
      <c r="G42" s="14">
        <f>[1040]NºAsuntos!$E$35/Población!$E$42*1000</f>
        <v>4.5260372529011947</v>
      </c>
    </row>
    <row r="43" spans="2:7" ht="20.100000000000001" customHeight="1" thickBot="1" x14ac:dyDescent="0.25">
      <c r="B43" s="9" t="s">
        <v>62</v>
      </c>
      <c r="C43" s="14">
        <f>[1041]NºAsuntos!$E$36/Población!$E$43*1000</f>
        <v>110.54226461297496</v>
      </c>
      <c r="D43" s="14">
        <f>[1041]NºAsuntos!$E$17/Población!$E$43*1000</f>
        <v>22.205468523989445</v>
      </c>
      <c r="E43" s="14">
        <f>[1041]NºAsuntos!$E$28/Población!$E$43*1000</f>
        <v>77.711834442291789</v>
      </c>
      <c r="F43" s="14">
        <f>[1041]NºAsuntos!$E$31/Población!$E$43*1000</f>
        <v>1.6510185177068084</v>
      </c>
      <c r="G43" s="14">
        <f>[1041]NºAsuntos!$E$35/Población!$E$43*1000</f>
        <v>8.9739431289869174</v>
      </c>
    </row>
    <row r="44" spans="2:7" ht="20.100000000000001" customHeight="1" thickBot="1" x14ac:dyDescent="0.25">
      <c r="B44" s="9" t="s">
        <v>63</v>
      </c>
      <c r="C44" s="14">
        <f>[1042]NºAsuntos!$E$36/Población!$E$44*1000</f>
        <v>120.67044850811497</v>
      </c>
      <c r="D44" s="14">
        <f>[1042]NºAsuntos!$E$17/Población!$E$44*1000</f>
        <v>29.146457808474295</v>
      </c>
      <c r="E44" s="14">
        <f>[1042]NºAsuntos!$E$28/Población!$E$44*1000</f>
        <v>82.309322639062657</v>
      </c>
      <c r="F44" s="14">
        <f>[1042]NºAsuntos!$E$31/Población!$E$44*1000</f>
        <v>1.5310173839026091</v>
      </c>
      <c r="G44" s="14">
        <f>[1042]NºAsuntos!$E$35/Población!$E$44*1000</f>
        <v>7.6836506766754065</v>
      </c>
    </row>
    <row r="45" spans="2:7" ht="20.100000000000001" customHeight="1" thickBot="1" x14ac:dyDescent="0.25">
      <c r="B45" s="9" t="s">
        <v>64</v>
      </c>
      <c r="C45" s="14">
        <f>[1043]NºAsuntos!$E$36/Población!$E$45*1000</f>
        <v>189.19545204908914</v>
      </c>
      <c r="D45" s="14">
        <f>[1043]NºAsuntos!$E$17/Población!$E$45*1000</f>
        <v>38.940145323732196</v>
      </c>
      <c r="E45" s="14">
        <f>[1043]NºAsuntos!$E$28/Población!$E$45*1000</f>
        <v>136.50283889645428</v>
      </c>
      <c r="F45" s="14">
        <f>[1043]NºAsuntos!$E$31/Población!$E$45*1000</f>
        <v>2.0457204222922276</v>
      </c>
      <c r="G45" s="14">
        <f>[1043]NºAsuntos!$E$35/Población!$E$45*1000</f>
        <v>11.706747406610411</v>
      </c>
    </row>
    <row r="46" spans="2:7" ht="20.100000000000001" customHeight="1" thickBot="1" x14ac:dyDescent="0.25">
      <c r="B46" s="9" t="s">
        <v>65</v>
      </c>
      <c r="C46" s="14">
        <f>[1044]NºAsuntos!$E$36/Población!$E$46*1000</f>
        <v>172.83826835066384</v>
      </c>
      <c r="D46" s="14">
        <f>[1044]NºAsuntos!$E$17/Población!$E$46*1000</f>
        <v>29.933534938628977</v>
      </c>
      <c r="E46" s="14">
        <f>[1044]NºAsuntos!$E$28/Población!$E$46*1000</f>
        <v>133.76673081380619</v>
      </c>
      <c r="F46" s="14">
        <f>[1044]NºAsuntos!$E$31/Población!$E$46*1000</f>
        <v>1.8424783436022663</v>
      </c>
      <c r="G46" s="14">
        <f>[1044]NºAsuntos!$E$35/Población!$E$46*1000</f>
        <v>7.2955242546264101</v>
      </c>
    </row>
    <row r="47" spans="2:7" ht="20.100000000000001" customHeight="1" thickBot="1" x14ac:dyDescent="0.25">
      <c r="B47" s="9" t="s">
        <v>30</v>
      </c>
      <c r="C47" s="14">
        <f>[1045]NºAsuntos!$E$36/Población!$E$47*1000</f>
        <v>111.44785831100596</v>
      </c>
      <c r="D47" s="14">
        <f>[1045]NºAsuntos!$E$17/Población!$E$47*1000</f>
        <v>24.802533143115625</v>
      </c>
      <c r="E47" s="14">
        <f>[1045]NºAsuntos!$E$28/Población!$E$47*1000</f>
        <v>78.510038623473335</v>
      </c>
      <c r="F47" s="14">
        <f>[1045]NºAsuntos!$E$31/Población!$E$47*1000</f>
        <v>1.3361634016493267</v>
      </c>
      <c r="G47" s="14">
        <f>[1045]NºAsuntos!$E$35/Población!$E$47*1000</f>
        <v>6.7991231427676677</v>
      </c>
    </row>
    <row r="48" spans="2:7" ht="20.100000000000001" customHeight="1" thickBot="1" x14ac:dyDescent="0.25">
      <c r="B48" s="9" t="s">
        <v>66</v>
      </c>
      <c r="C48" s="14">
        <f>[1046]NºAsuntos!$E$36/Población!$E$48*1000</f>
        <v>111.21511696351405</v>
      </c>
      <c r="D48" s="14">
        <f>[1046]NºAsuntos!$E$17/Población!$E$48*1000</f>
        <v>25.012131357477369</v>
      </c>
      <c r="E48" s="14">
        <f>[1046]NºAsuntos!$E$28/Población!$E$48*1000</f>
        <v>77.916335267650766</v>
      </c>
      <c r="F48" s="14">
        <f>[1046]NºAsuntos!$E$31/Población!$E$48*1000</f>
        <v>2.030028339999598</v>
      </c>
      <c r="G48" s="14">
        <f>[1046]NºAsuntos!$E$35/Población!$E$48*1000</f>
        <v>6.2566219983863141</v>
      </c>
    </row>
    <row r="49" spans="2:7" ht="20.100000000000001" customHeight="1" thickBot="1" x14ac:dyDescent="0.25">
      <c r="B49" s="9" t="s">
        <v>67</v>
      </c>
      <c r="C49" s="14">
        <f>[1047]NºAsuntos!$E$36/Población!$E$49*1000</f>
        <v>178.40902386420501</v>
      </c>
      <c r="D49" s="14">
        <f>[1047]NºAsuntos!$E$17/Población!$E$49*1000</f>
        <v>29.263751800031027</v>
      </c>
      <c r="E49" s="14">
        <f>[1047]NºAsuntos!$E$28/Población!$E$49*1000</f>
        <v>142.75147444119827</v>
      </c>
      <c r="F49" s="14">
        <f>[1047]NºAsuntos!$E$31/Población!$E$49*1000</f>
        <v>1.6268565722164801</v>
      </c>
      <c r="G49" s="14">
        <f>[1047]NºAsuntos!$E$35/Población!$E$49*1000</f>
        <v>4.766941050759236</v>
      </c>
    </row>
    <row r="50" spans="2:7" ht="20.100000000000001" customHeight="1" thickBot="1" x14ac:dyDescent="0.25">
      <c r="B50" s="9" t="s">
        <v>68</v>
      </c>
      <c r="C50" s="14">
        <f>[1048]NºAsuntos!$E$36/Población!$E$50*1000</f>
        <v>111.62500580619903</v>
      </c>
      <c r="D50" s="14">
        <f>[1048]NºAsuntos!$E$17/Población!$E$50*1000</f>
        <v>26.18429871069203</v>
      </c>
      <c r="E50" s="14">
        <f>[1048]NºAsuntos!$E$28/Población!$E$50*1000</f>
        <v>79.641143721674041</v>
      </c>
      <c r="F50" s="14">
        <f>[1048]NºAsuntos!$E$31/Población!$E$50*1000</f>
        <v>1.6257357283627845</v>
      </c>
      <c r="G50" s="14">
        <f>[1048]NºAsuntos!$E$35/Población!$E$50*1000</f>
        <v>4.173827645470169</v>
      </c>
    </row>
    <row r="51" spans="2:7" ht="20.100000000000001" customHeight="1" thickBot="1" x14ac:dyDescent="0.25">
      <c r="B51" s="9" t="s">
        <v>69</v>
      </c>
      <c r="C51" s="14">
        <f>[1049]NºAsuntos!$E$36/Población!$E$51*1000</f>
        <v>216.92929682723621</v>
      </c>
      <c r="D51" s="14">
        <f>[1049]NºAsuntos!$E$17/Población!$E$51*1000</f>
        <v>25.469161382092391</v>
      </c>
      <c r="E51" s="14">
        <f>[1049]NºAsuntos!$E$28/Población!$E$51*1000</f>
        <v>182.50767586049847</v>
      </c>
      <c r="F51" s="14">
        <f>[1049]NºAsuntos!$E$31/Población!$E$51*1000</f>
        <v>2.6182620976833877</v>
      </c>
      <c r="G51" s="14">
        <f>[1049]NºAsuntos!$E$35/Población!$E$51*1000</f>
        <v>6.3341974869619753</v>
      </c>
    </row>
    <row r="52" spans="2:7" ht="20.100000000000001" customHeight="1" thickBot="1" x14ac:dyDescent="0.25">
      <c r="B52" s="9" t="s">
        <v>70</v>
      </c>
      <c r="C52" s="14">
        <f>[1050]NºAsuntos!$E$36/Población!$E$52*1000</f>
        <v>111.67183411394771</v>
      </c>
      <c r="D52" s="14">
        <f>[1050]NºAsuntos!$E$17/Población!$E$52*1000</f>
        <v>30.301031290542472</v>
      </c>
      <c r="E52" s="14">
        <f>[1050]NºAsuntos!$E$28/Población!$E$52*1000</f>
        <v>74.47720825911999</v>
      </c>
      <c r="F52" s="14">
        <f>[1050]NºAsuntos!$E$31/Población!$E$52*1000</f>
        <v>2.7926204454999231</v>
      </c>
      <c r="G52" s="14">
        <f>[1050]NºAsuntos!$E$35/Población!$E$52*1000</f>
        <v>4.1009741187853201</v>
      </c>
    </row>
    <row r="53" spans="2:7" ht="20.100000000000001" customHeight="1" thickBot="1" x14ac:dyDescent="0.25">
      <c r="B53" s="9" t="s">
        <v>71</v>
      </c>
      <c r="C53" s="14">
        <f>[1051]NºAsuntos!$E$36/Población!$E$53*1000</f>
        <v>201.24161314929779</v>
      </c>
      <c r="D53" s="14">
        <f>[1051]NºAsuntos!$E$17/Población!$E$53*1000</f>
        <v>27.969162988860337</v>
      </c>
      <c r="E53" s="14">
        <f>[1051]NºAsuntos!$E$28/Población!$E$53*1000</f>
        <v>168.04275478522476</v>
      </c>
      <c r="F53" s="14">
        <f>[1051]NºAsuntos!$E$31/Población!$E$53*1000</f>
        <v>0.92333703789197874</v>
      </c>
      <c r="G53" s="14">
        <f>[1051]NºAsuntos!$E$35/Población!$E$53*1000</f>
        <v>4.3063583373207024</v>
      </c>
    </row>
    <row r="54" spans="2:7" ht="20.100000000000001" customHeight="1" thickBot="1" x14ac:dyDescent="0.25">
      <c r="B54" s="9" t="s">
        <v>72</v>
      </c>
      <c r="C54" s="14">
        <f>[1052]NºAsuntos!$E$36/Población!$E$54*1000</f>
        <v>70.987698830451535</v>
      </c>
      <c r="D54" s="14">
        <f>[1052]NºAsuntos!$E$17/Población!$E$54*1000</f>
        <v>13.09432819462671</v>
      </c>
      <c r="E54" s="14">
        <f>[1052]NºAsuntos!$E$28/Población!$E$54*1000</f>
        <v>53.026260761720721</v>
      </c>
      <c r="F54" s="14">
        <f>[1052]NºAsuntos!$E$31/Población!$E$54*1000</f>
        <v>1.3483696984555038</v>
      </c>
      <c r="G54" s="14">
        <f>[1052]NºAsuntos!$E$35/Población!$E$54*1000</f>
        <v>3.5187401756485874</v>
      </c>
    </row>
    <row r="55" spans="2:7" ht="20.100000000000001" customHeight="1" thickBot="1" x14ac:dyDescent="0.25">
      <c r="B55" s="9" t="s">
        <v>73</v>
      </c>
      <c r="C55" s="14">
        <f>[1053]NºAsuntos!$E$36/Población!$E$55*1000</f>
        <v>102.87178631111048</v>
      </c>
      <c r="D55" s="14">
        <f>[1053]NºAsuntos!$E$17/Población!$E$55*1000</f>
        <v>19.426424127906461</v>
      </c>
      <c r="E55" s="14">
        <f>[1053]NºAsuntos!$E$28/Población!$E$55*1000</f>
        <v>76.521180112200526</v>
      </c>
      <c r="F55" s="14">
        <f>[1053]NºAsuntos!$E$31/Población!$E$55*1000</f>
        <v>1.6995235296102462</v>
      </c>
      <c r="G55" s="14">
        <f>[1053]NºAsuntos!$E$35/Población!$E$55*1000</f>
        <v>5.2246585413932545</v>
      </c>
    </row>
    <row r="56" spans="2:7" ht="20.100000000000001" customHeight="1" thickBot="1" x14ac:dyDescent="0.25">
      <c r="B56" s="9" t="s">
        <v>74</v>
      </c>
      <c r="C56" s="14">
        <f>[1054]NºAsuntos!$E$36/Población!$E$56*1000</f>
        <v>193.89457470315222</v>
      </c>
      <c r="D56" s="14">
        <f>[1054]NºAsuntos!$E$17/Población!$E$56*1000</f>
        <v>28.876906706339749</v>
      </c>
      <c r="E56" s="14">
        <f>[1054]NºAsuntos!$E$28/Población!$E$56*1000</f>
        <v>155.22064632243197</v>
      </c>
      <c r="F56" s="14">
        <f>[1054]NºAsuntos!$E$31/Población!$E$56*1000</f>
        <v>1.9437166879929595</v>
      </c>
      <c r="G56" s="14">
        <f>[1054]NºAsuntos!$E$35/Población!$E$56*1000</f>
        <v>7.8533049863875188</v>
      </c>
    </row>
    <row r="57" spans="2:7" ht="20.100000000000001" customHeight="1" thickBot="1" x14ac:dyDescent="0.25">
      <c r="B57" s="9" t="s">
        <v>75</v>
      </c>
      <c r="C57" s="14">
        <f>[1055]NºAsuntos!$E$36/Población!$E$57*1000</f>
        <v>124.32105739262337</v>
      </c>
      <c r="D57" s="14">
        <f>[1055]NºAsuntos!$E$17/Población!$E$57*1000</f>
        <v>29.136760273512646</v>
      </c>
      <c r="E57" s="14">
        <f>[1055]NºAsuntos!$E$28/Población!$E$57*1000</f>
        <v>87.102164320899391</v>
      </c>
      <c r="F57" s="14">
        <f>[1055]NºAsuntos!$E$31/Población!$E$57*1000</f>
        <v>1.8269728343952818</v>
      </c>
      <c r="G57" s="14">
        <f>[1055]NºAsuntos!$E$35/Población!$E$57*1000</f>
        <v>6.2551599638160624</v>
      </c>
    </row>
    <row r="58" spans="2:7" ht="20.100000000000001" customHeight="1" thickBot="1" x14ac:dyDescent="0.25">
      <c r="B58" s="9" t="s">
        <v>76</v>
      </c>
      <c r="C58" s="14">
        <f>[1056]NºAsuntos!$E$36/Población!$E$58*1000</f>
        <v>91.983494251031615</v>
      </c>
      <c r="D58" s="14">
        <f>[1056]NºAsuntos!$E$17/Población!$E$58*1000</f>
        <v>22.550178278113858</v>
      </c>
      <c r="E58" s="14">
        <f>[1056]NºAsuntos!$E$28/Población!$E$58*1000</f>
        <v>62.908136693241453</v>
      </c>
      <c r="F58" s="14">
        <f>[1056]NºAsuntos!$E$31/Población!$E$58*1000</f>
        <v>1.3370858539321342</v>
      </c>
      <c r="G58" s="14">
        <f>[1056]NºAsuntos!$E$35/Población!$E$58*1000</f>
        <v>5.1880934257441611</v>
      </c>
    </row>
    <row r="59" spans="2:7" ht="20.100000000000001" customHeight="1" thickBot="1" x14ac:dyDescent="0.25">
      <c r="B59" s="9" t="s">
        <v>77</v>
      </c>
      <c r="C59" s="14">
        <f>[1057]NºAsuntos!$E$36/Población!$E$59*1000</f>
        <v>132.53677347810179</v>
      </c>
      <c r="D59" s="14">
        <f>[1057]NºAsuntos!$E$17/Población!$E$59*1000</f>
        <v>25.435225731095148</v>
      </c>
      <c r="E59" s="14">
        <f>[1057]NºAsuntos!$E$28/Población!$E$59*1000</f>
        <v>97.803930836546911</v>
      </c>
      <c r="F59" s="14">
        <f>[1057]NºAsuntos!$E$31/Población!$E$59*1000</f>
        <v>2.7644020460892742</v>
      </c>
      <c r="G59" s="14">
        <f>[1057]NºAsuntos!$E$35/Población!$E$59*1000</f>
        <v>6.5332148643704597</v>
      </c>
    </row>
    <row r="60" spans="2:7" ht="20.100000000000001" customHeight="1" thickBot="1" x14ac:dyDescent="0.25">
      <c r="B60" s="9" t="s">
        <v>78</v>
      </c>
      <c r="C60" s="14">
        <f>[1058]NºAsuntos!$E$61/Población!$E$60*1000</f>
        <v>264.25644926665865</v>
      </c>
      <c r="D60" s="14">
        <f>[1058]NºAsuntos!$E$21/Población!$E$60*1000</f>
        <v>28.479534505078004</v>
      </c>
      <c r="E60" s="14">
        <f>[1058]NºAsuntos!$E$40/Población!$E$60*1000</f>
        <v>223.80590142931499</v>
      </c>
      <c r="F60" s="14">
        <f>[1058]NºAsuntos!$E$47/Población!$E$60*1000</f>
        <v>1.9618048604716338</v>
      </c>
      <c r="G60" s="14">
        <f>[1058]NºAsuntos!$E$54/Población!$E$60*1000</f>
        <v>10.00920847179405</v>
      </c>
    </row>
    <row r="61" spans="2:7" ht="20.100000000000001" customHeight="1" thickBot="1" x14ac:dyDescent="0.25">
      <c r="B61" s="9" t="s">
        <v>79</v>
      </c>
      <c r="C61" s="14">
        <f>[1059]NºAsuntos!$E$61/Población!$E$61*1000</f>
        <v>274.6593050260725</v>
      </c>
      <c r="D61" s="14">
        <f>[1059]NºAsuntos!$E$21/Población!$E$61*1000</f>
        <v>29.35892379825599</v>
      </c>
      <c r="E61" s="14">
        <f>[1059]NºAsuntos!$E$40/Población!$E$61*1000</f>
        <v>231.21978294845391</v>
      </c>
      <c r="F61" s="14">
        <f>[1059]NºAsuntos!$E$47/Población!$E$61*1000</f>
        <v>2.0449001650526561</v>
      </c>
      <c r="G61" s="14">
        <f>[1059]NºAsuntos!$E$54/Población!$E$61*1000</f>
        <v>12.03569811430992</v>
      </c>
    </row>
    <row r="62" spans="2:7" ht="20.100000000000001" customHeight="1" thickBot="1" x14ac:dyDescent="0.25">
      <c r="B62" s="12" t="s">
        <v>6</v>
      </c>
      <c r="C62" s="15">
        <f>[1060]NºAsuntos!$E$60/Población!$S$62*1000</f>
        <v>157.27849865237005</v>
      </c>
      <c r="D62" s="15">
        <f>[1060]NºAsuntos!$E$20/Población!$S$62*1000</f>
        <v>24.470213216779513</v>
      </c>
      <c r="E62" s="15">
        <f>[1060]NºAsuntos!$E$39/Población!$S$62*1000</f>
        <v>120.26851164984244</v>
      </c>
      <c r="F62" s="15">
        <f>[1060]NºAsuntos!$E$46/Población!$S$62*1000</f>
        <v>4.3631242821350762</v>
      </c>
      <c r="G62" s="15">
        <f>[1060]NºAsuntos!$E$53/Población!$S$62*1000</f>
        <v>8.1652478353363769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1"/>
  <dimension ref="B8:G62"/>
  <sheetViews>
    <sheetView workbookViewId="0">
      <selection activeCell="A2" sqref="A2"/>
    </sheetView>
  </sheetViews>
  <sheetFormatPr baseColWidth="10" defaultColWidth="11.42578125" defaultRowHeight="12.75" x14ac:dyDescent="0.2"/>
  <cols>
    <col min="1" max="1" width="11.42578125" style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7" ht="13.5" thickBot="1" x14ac:dyDescent="0.25"/>
    <row r="9" spans="2: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7" ht="20.100000000000001" customHeight="1" thickBot="1" x14ac:dyDescent="0.25">
      <c r="B10" s="9" t="s">
        <v>31</v>
      </c>
      <c r="C10" s="14">
        <f>[1061]NºAsuntos!$E$36/Población!$D$10*1000</f>
        <v>118.85568887561965</v>
      </c>
      <c r="D10" s="14">
        <f>[1061]NºAsuntos!$E$17/Población!$D$10*1000</f>
        <v>20.460640097690344</v>
      </c>
      <c r="E10" s="14">
        <f>[1061]NºAsuntos!$E$28/Población!$D$10*1000</f>
        <v>88.386629978993355</v>
      </c>
      <c r="F10" s="14">
        <f>[1061]NºAsuntos!$E$31/Población!$D$10*1000</f>
        <v>2.3427392566173646</v>
      </c>
      <c r="G10" s="14">
        <f>[1061]NºAsuntos!$E$35/Población!$D$10*1000</f>
        <v>7.6656795423185855</v>
      </c>
    </row>
    <row r="11" spans="2:7" ht="20.100000000000001" customHeight="1" thickBot="1" x14ac:dyDescent="0.25">
      <c r="B11" s="9" t="s">
        <v>32</v>
      </c>
      <c r="C11" s="14">
        <f>[1062]NºAsuntos!$E$36/Población!$D$11*1000</f>
        <v>222.48852351267806</v>
      </c>
      <c r="D11" s="14">
        <f>[1062]NºAsuntos!$E$17/Población!$D$11*1000</f>
        <v>25.278439608515708</v>
      </c>
      <c r="E11" s="14">
        <f>[1062]NºAsuntos!$E$28/Población!$D$11*1000</f>
        <v>191.18171875160468</v>
      </c>
      <c r="F11" s="14">
        <f>[1062]NºAsuntos!$E$31/Población!$D$11*1000</f>
        <v>1.1861604346173991</v>
      </c>
      <c r="G11" s="14">
        <f>[1062]NºAsuntos!$E$35/Población!$D$11*1000</f>
        <v>4.8422047179402918</v>
      </c>
    </row>
    <row r="12" spans="2:7" ht="20.100000000000001" customHeight="1" thickBot="1" x14ac:dyDescent="0.25">
      <c r="B12" s="9" t="s">
        <v>33</v>
      </c>
      <c r="C12" s="14">
        <f>[1063]NºAsuntos!$E$36/Población!$D$12*1000</f>
        <v>187.55969829715755</v>
      </c>
      <c r="D12" s="14">
        <f>[1063]NºAsuntos!$E$17/Población!$D$12*1000</f>
        <v>20.962565279287389</v>
      </c>
      <c r="E12" s="14">
        <f>[1063]NºAsuntos!$E$28/Población!$D$12*1000</f>
        <v>158.12317702901015</v>
      </c>
      <c r="F12" s="14">
        <f>[1063]NºAsuntos!$E$31/Población!$D$12*1000</f>
        <v>1.9835388235638556</v>
      </c>
      <c r="G12" s="14">
        <f>[1063]NºAsuntos!$E$35/Población!$D$12*1000</f>
        <v>6.4904171652961216</v>
      </c>
    </row>
    <row r="13" spans="2:7" ht="20.100000000000001" customHeight="1" thickBot="1" x14ac:dyDescent="0.25">
      <c r="B13" s="9" t="s">
        <v>34</v>
      </c>
      <c r="C13" s="14">
        <f>[1064]NºAsuntos!$E$36/Población!$D$13*1000</f>
        <v>125.27924347289796</v>
      </c>
      <c r="D13" s="14">
        <f>[1064]NºAsuntos!$E$17/Población!$D$13*1000</f>
        <v>24.145138079901322</v>
      </c>
      <c r="E13" s="14">
        <f>[1064]NºAsuntos!$E$28/Población!$D$13*1000</f>
        <v>91.084766668950863</v>
      </c>
      <c r="F13" s="14">
        <f>[1064]NºAsuntos!$E$31/Población!$D$13*1000</f>
        <v>2.7444665250462554</v>
      </c>
      <c r="G13" s="14">
        <f>[1064]NºAsuntos!$E$35/Población!$D$13*1000</f>
        <v>7.3048721989995204</v>
      </c>
    </row>
    <row r="14" spans="2:7" ht="20.100000000000001" customHeight="1" thickBot="1" x14ac:dyDescent="0.25">
      <c r="B14" s="9" t="s">
        <v>35</v>
      </c>
      <c r="C14" s="14">
        <f>[1065]NºAsuntos!$E$36/Población!$D$14*1000</f>
        <v>123.49681695315795</v>
      </c>
      <c r="D14" s="14">
        <f>[1065]NºAsuntos!$E$17/Población!$D$14*1000</f>
        <v>27.307999936683576</v>
      </c>
      <c r="E14" s="14">
        <f>[1065]NºAsuntos!$E$28/Población!$D$14*1000</f>
        <v>80.166969126726883</v>
      </c>
      <c r="F14" s="14">
        <f>[1065]NºAsuntos!$E$31/Población!$D$14*1000</f>
        <v>1.7849643984800334</v>
      </c>
      <c r="G14" s="14">
        <f>[1065]NºAsuntos!$E$35/Población!$D$14*1000</f>
        <v>14.236883491267454</v>
      </c>
    </row>
    <row r="15" spans="2:7" ht="20.100000000000001" customHeight="1" thickBot="1" x14ac:dyDescent="0.25">
      <c r="B15" s="9" t="s">
        <v>36</v>
      </c>
      <c r="C15" s="14">
        <f>[1066]NºAsuntos!$E$36/Población!$D$15*1000</f>
        <v>96.052998098559996</v>
      </c>
      <c r="D15" s="14">
        <f>[1066]NºAsuntos!$E$17/Población!$D$15*1000</f>
        <v>17.518681345299083</v>
      </c>
      <c r="E15" s="14">
        <f>[1066]NºAsuntos!$E$28/Población!$D$15*1000</f>
        <v>74.670881323499145</v>
      </c>
      <c r="F15" s="14">
        <f>[1066]NºAsuntos!$E$31/Población!$D$15*1000</f>
        <v>1.2898303237292446</v>
      </c>
      <c r="G15" s="14">
        <f>[1066]NºAsuntos!$E$35/Población!$D$15*1000</f>
        <v>2.5736051060325305</v>
      </c>
    </row>
    <row r="16" spans="2:7" ht="20.100000000000001" customHeight="1" thickBot="1" x14ac:dyDescent="0.25">
      <c r="B16" s="9" t="s">
        <v>37</v>
      </c>
      <c r="C16" s="14">
        <f>[1067]NºAsuntos!$E$36/Población!$D$16*1000</f>
        <v>119.35583155302893</v>
      </c>
      <c r="D16" s="14">
        <f>[1067]NºAsuntos!$E$17/Población!$D$16*1000</f>
        <v>18.216436735826967</v>
      </c>
      <c r="E16" s="14">
        <f>[1067]NºAsuntos!$E$28/Población!$D$16*1000</f>
        <v>95.520874823478295</v>
      </c>
      <c r="F16" s="14">
        <f>[1067]NºAsuntos!$E$31/Población!$D$16*1000</f>
        <v>1.2990187203534056</v>
      </c>
      <c r="G16" s="14">
        <f>[1067]NºAsuntos!$E$35/Población!$D$16*1000</f>
        <v>4.3195012733702676</v>
      </c>
    </row>
    <row r="17" spans="2:7" ht="20.100000000000001" customHeight="1" thickBot="1" x14ac:dyDescent="0.25">
      <c r="B17" s="9" t="s">
        <v>29</v>
      </c>
      <c r="C17" s="14">
        <f>[1068]NºAsuntos!$E$36/Población!$D$17*1000</f>
        <v>212.20587850393906</v>
      </c>
      <c r="D17" s="14">
        <f>[1068]NºAsuntos!$E$17/Población!$D$17*1000</f>
        <v>30.858219697961108</v>
      </c>
      <c r="E17" s="14">
        <f>[1068]NºAsuntos!$E$28/Población!$D$17*1000</f>
        <v>175.22530775337853</v>
      </c>
      <c r="F17" s="14">
        <f>[1068]NºAsuntos!$E$31/Población!$D$17*1000</f>
        <v>1.1167238115179592</v>
      </c>
      <c r="G17" s="14">
        <f>[1068]NºAsuntos!$E$35/Población!$D$17*1000</f>
        <v>5.0056272410814771</v>
      </c>
    </row>
    <row r="18" spans="2:7" ht="20.100000000000001" customHeight="1" thickBot="1" x14ac:dyDescent="0.25">
      <c r="B18" s="9" t="s">
        <v>38</v>
      </c>
      <c r="C18" s="14">
        <f>[1069]NºAsuntos!$E$36/Población!$D$18*1000</f>
        <v>159.52473208445701</v>
      </c>
      <c r="D18" s="14">
        <f>[1069]NºAsuntos!$E$17/Población!$D$18*1000</f>
        <v>24.887706510056731</v>
      </c>
      <c r="E18" s="14">
        <f>[1069]NºAsuntos!$E$28/Población!$D$18*1000</f>
        <v>125.0463452053834</v>
      </c>
      <c r="F18" s="14">
        <f>[1069]NºAsuntos!$E$31/Población!$D$18*1000</f>
        <v>1.3083666777616596</v>
      </c>
      <c r="G18" s="14">
        <f>[1069]NºAsuntos!$E$35/Población!$D$18*1000</f>
        <v>8.2823136912552222</v>
      </c>
    </row>
    <row r="19" spans="2:7" ht="20.100000000000001" customHeight="1" thickBot="1" x14ac:dyDescent="0.25">
      <c r="B19" s="9" t="s">
        <v>39</v>
      </c>
      <c r="C19" s="14">
        <f>[1070]NºAsuntos!$E$36/Población!$D$19*1000</f>
        <v>122.61655626568229</v>
      </c>
      <c r="D19" s="14">
        <f>[1070]NºAsuntos!$E$17/Población!$D$19*1000</f>
        <v>22.51985982545234</v>
      </c>
      <c r="E19" s="14">
        <f>[1070]NºAsuntos!$E$28/Población!$D$19*1000</f>
        <v>91.708103796923353</v>
      </c>
      <c r="F19" s="14">
        <f>[1070]NºAsuntos!$E$31/Población!$D$19*1000</f>
        <v>1.397510596024153</v>
      </c>
      <c r="G19" s="14">
        <f>[1070]NºAsuntos!$E$35/Población!$D$19*1000</f>
        <v>6.9910820472824415</v>
      </c>
    </row>
    <row r="20" spans="2:7" ht="20.100000000000001" customHeight="1" thickBot="1" x14ac:dyDescent="0.25">
      <c r="B20" s="9" t="s">
        <v>40</v>
      </c>
      <c r="C20" s="14">
        <f>[1071]NºAsuntos!$E$36/Población!$D$20*1000</f>
        <v>136.67098544750414</v>
      </c>
      <c r="D20" s="14">
        <f>[1071]NºAsuntos!$E$17/Población!$D$20*1000</f>
        <v>25.785106159791109</v>
      </c>
      <c r="E20" s="14">
        <f>[1071]NºAsuntos!$E$28/Población!$D$20*1000</f>
        <v>99.069241302665276</v>
      </c>
      <c r="F20" s="14">
        <f>[1071]NºAsuntos!$E$31/Población!$D$20*1000</f>
        <v>2.7925596005930999</v>
      </c>
      <c r="G20" s="14">
        <f>[1071]NºAsuntos!$E$35/Población!$D$20*1000</f>
        <v>9.0240783844546577</v>
      </c>
    </row>
    <row r="21" spans="2:7" ht="20.100000000000001" customHeight="1" thickBot="1" x14ac:dyDescent="0.25">
      <c r="B21" s="9" t="s">
        <v>41</v>
      </c>
      <c r="C21" s="14">
        <f>[1072]NºAsuntos!$E$36/Población!$D$21*1000</f>
        <v>99.012290306697011</v>
      </c>
      <c r="D21" s="14">
        <f>[1072]NºAsuntos!$E$17/Población!$D$21*1000</f>
        <v>17.782187099321863</v>
      </c>
      <c r="E21" s="14">
        <f>[1072]NºAsuntos!$E$28/Población!$D$21*1000</f>
        <v>72.852121430765251</v>
      </c>
      <c r="F21" s="14">
        <f>[1072]NºAsuntos!$E$31/Población!$D$21*1000</f>
        <v>1.4333003446746067</v>
      </c>
      <c r="G21" s="14">
        <f>[1072]NºAsuntos!$E$35/Población!$D$21*1000</f>
        <v>6.9446814319352965</v>
      </c>
    </row>
    <row r="22" spans="2:7" ht="20.100000000000001" customHeight="1" thickBot="1" x14ac:dyDescent="0.25">
      <c r="B22" s="9" t="s">
        <v>42</v>
      </c>
      <c r="C22" s="14">
        <f>[1073]NºAsuntos!$E$36/Población!$D$22*1000</f>
        <v>164.73540773830135</v>
      </c>
      <c r="D22" s="14">
        <f>[1073]NºAsuntos!$E$17/Población!$D$22*1000</f>
        <v>22.211742182849999</v>
      </c>
      <c r="E22" s="14">
        <f>[1073]NºAsuntos!$E$28/Población!$D$22*1000</f>
        <v>135.07358477830772</v>
      </c>
      <c r="F22" s="14">
        <f>[1073]NºAsuntos!$E$31/Población!$D$22*1000</f>
        <v>1.6961885285060478</v>
      </c>
      <c r="G22" s="14">
        <f>[1073]NºAsuntos!$E$35/Población!$D$22*1000</f>
        <v>5.7538922486375705</v>
      </c>
    </row>
    <row r="23" spans="2:7" ht="20.100000000000001" customHeight="1" thickBot="1" x14ac:dyDescent="0.25">
      <c r="B23" s="9" t="s">
        <v>5</v>
      </c>
      <c r="C23" s="14">
        <f>[1074]NºAsuntos!$E$36/Población!$D$23*1000</f>
        <v>143.87718408556543</v>
      </c>
      <c r="D23" s="14">
        <f>[1074]NºAsuntos!$E$17/Población!$D$23*1000</f>
        <v>30.012447558895392</v>
      </c>
      <c r="E23" s="14">
        <f>[1074]NºAsuntos!$E$28/Población!$D$23*1000</f>
        <v>102.98095984509705</v>
      </c>
      <c r="F23" s="14">
        <f>[1074]NºAsuntos!$E$31/Población!$D$23*1000</f>
        <v>2.1428242128071551</v>
      </c>
      <c r="G23" s="14">
        <f>[1074]NºAsuntos!$E$35/Población!$D$23*1000</f>
        <v>8.7409524687658475</v>
      </c>
    </row>
    <row r="24" spans="2:7" ht="20.100000000000001" customHeight="1" thickBot="1" x14ac:dyDescent="0.25">
      <c r="B24" s="9" t="s">
        <v>43</v>
      </c>
      <c r="C24" s="14">
        <f>[1075]NºAsuntos!$E$36/Población!$D$24*1000</f>
        <v>165.75192972585822</v>
      </c>
      <c r="D24" s="14">
        <f>[1075]NºAsuntos!$E$17/Población!$D$24*1000</f>
        <v>22.550210778533909</v>
      </c>
      <c r="E24" s="14">
        <f>[1075]NºAsuntos!$E$28/Población!$D$24*1000</f>
        <v>136.36463389574195</v>
      </c>
      <c r="F24" s="14">
        <f>[1075]NºAsuntos!$E$31/Población!$D$24*1000</f>
        <v>1.5242290573122097</v>
      </c>
      <c r="G24" s="14">
        <f>[1075]NºAsuntos!$E$35/Población!$D$24*1000</f>
        <v>5.3128559942701754</v>
      </c>
    </row>
    <row r="25" spans="2:7" ht="20.100000000000001" customHeight="1" thickBot="1" x14ac:dyDescent="0.25">
      <c r="B25" s="9" t="s">
        <v>44</v>
      </c>
      <c r="C25" s="14">
        <f>[1076]NºAsuntos!$E$36/Población!$D$25*1000</f>
        <v>115.84678468342356</v>
      </c>
      <c r="D25" s="14">
        <f>[1076]NºAsuntos!$E$17/Población!$D$25*1000</f>
        <v>17.588956472546034</v>
      </c>
      <c r="E25" s="14">
        <f>[1076]NºAsuntos!$E$28/Población!$D$25*1000</f>
        <v>91.706618105537871</v>
      </c>
      <c r="F25" s="14">
        <f>[1076]NºAsuntos!$E$31/Población!$D$25*1000</f>
        <v>0.98072007564964958</v>
      </c>
      <c r="G25" s="14">
        <f>[1076]NºAsuntos!$E$35/Población!$D$25*1000</f>
        <v>5.5704900296900099</v>
      </c>
    </row>
    <row r="26" spans="2:7" ht="20.100000000000001" customHeight="1" thickBot="1" x14ac:dyDescent="0.25">
      <c r="B26" s="9" t="s">
        <v>45</v>
      </c>
      <c r="C26" s="14">
        <f>[1077]NºAsuntos!$E$36/Población!$D$26*1000</f>
        <v>141.17964392561055</v>
      </c>
      <c r="D26" s="14">
        <f>[1077]NºAsuntos!$E$17/Población!$D$26*1000</f>
        <v>19.145903873660895</v>
      </c>
      <c r="E26" s="14">
        <f>[1077]NºAsuntos!$E$28/Población!$D$26*1000</f>
        <v>113.29073789018987</v>
      </c>
      <c r="F26" s="14">
        <f>[1077]NºAsuntos!$E$31/Población!$D$26*1000</f>
        <v>2.7543958160156965</v>
      </c>
      <c r="G26" s="14">
        <f>[1077]NºAsuntos!$E$35/Población!$D$26*1000</f>
        <v>5.9886063457441079</v>
      </c>
    </row>
    <row r="27" spans="2:7" ht="20.100000000000001" customHeight="1" thickBot="1" x14ac:dyDescent="0.25">
      <c r="B27" s="9" t="s">
        <v>46</v>
      </c>
      <c r="C27" s="14">
        <f>[1078]NºAsuntos!$E$36/Población!$D$27*1000</f>
        <v>113.55840436879321</v>
      </c>
      <c r="D27" s="14">
        <f>[1078]NºAsuntos!$E$17/Población!$D$27*1000</f>
        <v>22.708263257204429</v>
      </c>
      <c r="E27" s="14">
        <f>[1078]NºAsuntos!$E$28/Población!$D$27*1000</f>
        <v>82.208967466089149</v>
      </c>
      <c r="F27" s="14">
        <f>[1078]NºAsuntos!$E$31/Población!$D$27*1000</f>
        <v>2.1036329263971307</v>
      </c>
      <c r="G27" s="14">
        <f>[1078]NºAsuntos!$E$35/Población!$D$27*1000</f>
        <v>6.5375407191024975</v>
      </c>
    </row>
    <row r="28" spans="2:7" ht="20.100000000000001" customHeight="1" thickBot="1" x14ac:dyDescent="0.25">
      <c r="B28" s="9" t="s">
        <v>47</v>
      </c>
      <c r="C28" s="14">
        <f>[1079]NºAsuntos!$E$36/Población!$D$28*1000</f>
        <v>103.48487704226889</v>
      </c>
      <c r="D28" s="14">
        <f>[1079]NºAsuntos!$E$17/Población!$D$28*1000</f>
        <v>14.889838999275844</v>
      </c>
      <c r="E28" s="14">
        <f>[1079]NºAsuntos!$E$28/Población!$D$28*1000</f>
        <v>81.333637545011754</v>
      </c>
      <c r="F28" s="14">
        <f>[1079]NºAsuntos!$E$31/Población!$D$28*1000</f>
        <v>1.7756703403533485</v>
      </c>
      <c r="G28" s="14">
        <f>[1079]NºAsuntos!$E$35/Población!$D$28*1000</f>
        <v>5.485730157627942</v>
      </c>
    </row>
    <row r="29" spans="2:7" ht="20.100000000000001" customHeight="1" thickBot="1" x14ac:dyDescent="0.25">
      <c r="B29" s="9" t="s">
        <v>48</v>
      </c>
      <c r="C29" s="14">
        <f>[1080]NºAsuntos!$E$36/Población!$D$10*1000</f>
        <v>181.27045862281361</v>
      </c>
      <c r="D29" s="14">
        <f>[1080]NºAsuntos!$E$17/Población!$D$10*1000</f>
        <v>35.700548970243716</v>
      </c>
      <c r="E29" s="14">
        <f>[1080]NºAsuntos!$E$28/Población!$D$10*1000</f>
        <v>132.10790049141042</v>
      </c>
      <c r="F29" s="14">
        <f>[1080]NºAsuntos!$E$31/Población!$D$10*1000</f>
        <v>2.1652182566899865</v>
      </c>
      <c r="G29" s="14">
        <f>[1080]NºAsuntos!$E$35/Población!$D$10*1000</f>
        <v>11.296790904469495</v>
      </c>
    </row>
    <row r="30" spans="2:7" ht="20.100000000000001" customHeight="1" thickBot="1" x14ac:dyDescent="0.25">
      <c r="B30" s="9" t="s">
        <v>49</v>
      </c>
      <c r="C30" s="14">
        <f>[1081]NºAsuntos!$E$36/Población!$D$30*1000</f>
        <v>187.76416457118401</v>
      </c>
      <c r="D30" s="14">
        <f>[1081]NºAsuntos!$E$17/Población!$D$30*1000</f>
        <v>23.21973142153978</v>
      </c>
      <c r="E30" s="14">
        <f>[1081]NºAsuntos!$E$28/Población!$D$30*1000</f>
        <v>159.19426461933551</v>
      </c>
      <c r="F30" s="14">
        <f>[1081]NºAsuntos!$E$31/Población!$D$30*1000</f>
        <v>1.4562489968434007</v>
      </c>
      <c r="G30" s="14">
        <f>[1081]NºAsuntos!$E$35/Población!$D$30*1000</f>
        <v>3.8939195334653043</v>
      </c>
    </row>
    <row r="31" spans="2:7" ht="20.100000000000001" customHeight="1" thickBot="1" x14ac:dyDescent="0.25">
      <c r="B31" s="9" t="s">
        <v>50</v>
      </c>
      <c r="C31" s="14">
        <f>[1082]NºAsuntos!$E$36/Población!$D$31*1000</f>
        <v>160.69791039600273</v>
      </c>
      <c r="D31" s="14">
        <f>[1082]NºAsuntos!$E$17/Población!$D$31*1000</f>
        <v>26.48117915548886</v>
      </c>
      <c r="E31" s="14">
        <f>[1082]NºAsuntos!$E$28/Población!$D$31*1000</f>
        <v>123.29310746936049</v>
      </c>
      <c r="F31" s="14">
        <f>[1082]NºAsuntos!$E$31/Población!$D$31*1000</f>
        <v>1.7363506598010401</v>
      </c>
      <c r="G31" s="14">
        <f>[1082]NºAsuntos!$E$35/Población!$D$31*1000</f>
        <v>9.1872731113523383</v>
      </c>
    </row>
    <row r="32" spans="2:7" ht="20.100000000000001" customHeight="1" thickBot="1" x14ac:dyDescent="0.25">
      <c r="B32" s="9" t="s">
        <v>51</v>
      </c>
      <c r="C32" s="14">
        <f>[1083]NºAsuntos!$E$36/Población!$D$32*1000</f>
        <v>125.2749478232008</v>
      </c>
      <c r="D32" s="14">
        <f>[1083]NºAsuntos!$E$17/Población!$D$32*1000</f>
        <v>19.323698674062364</v>
      </c>
      <c r="E32" s="14">
        <f>[1083]NºAsuntos!$E$28/Población!$D$32*1000</f>
        <v>96.5678635921265</v>
      </c>
      <c r="F32" s="14">
        <f>[1083]NºAsuntos!$E$31/Población!$D$32*1000</f>
        <v>2.01956559650317</v>
      </c>
      <c r="G32" s="14">
        <f>[1083]NºAsuntos!$E$35/Población!$D$32*1000</f>
        <v>7.3638199605087733</v>
      </c>
    </row>
    <row r="33" spans="2:7" ht="20.100000000000001" customHeight="1" thickBot="1" x14ac:dyDescent="0.25">
      <c r="B33" s="9" t="s">
        <v>52</v>
      </c>
      <c r="C33" s="14">
        <f>[1084]NºAsuntos!$E$36/Población!$D$33*1000</f>
        <v>156.40499511758657</v>
      </c>
      <c r="D33" s="14">
        <f>[1084]NºAsuntos!$E$17/Población!$D$33*1000</f>
        <v>20.779293405085451</v>
      </c>
      <c r="E33" s="14">
        <f>[1084]NºAsuntos!$E$28/Población!$D$33*1000</f>
        <v>129.08929009278737</v>
      </c>
      <c r="F33" s="14">
        <f>[1084]NºAsuntos!$E$31/Población!$D$33*1000</f>
        <v>1.6389423014879532</v>
      </c>
      <c r="G33" s="14">
        <f>[1084]NºAsuntos!$E$35/Población!$D$33*1000</f>
        <v>4.8974693182258129</v>
      </c>
    </row>
    <row r="34" spans="2:7" ht="20.100000000000001" customHeight="1" thickBot="1" x14ac:dyDescent="0.25">
      <c r="B34" s="9" t="s">
        <v>53</v>
      </c>
      <c r="C34" s="14">
        <f>[1085]NºAsuntos!$E$36/Población!$D$34*1000</f>
        <v>96.251489498140813</v>
      </c>
      <c r="D34" s="14">
        <f>[1085]NºAsuntos!$E$17/Población!$D$34*1000</f>
        <v>17.811765719290015</v>
      </c>
      <c r="E34" s="14">
        <f>[1085]NºAsuntos!$E$28/Población!$D$34*1000</f>
        <v>74.582581605355969</v>
      </c>
      <c r="F34" s="14">
        <f>[1085]NºAsuntos!$E$31/Población!$D$34*1000</f>
        <v>1.0288902820116479</v>
      </c>
      <c r="G34" s="14">
        <f>[1085]NºAsuntos!$E$35/Población!$D$34*1000</f>
        <v>2.8282518914831809</v>
      </c>
    </row>
    <row r="35" spans="2:7" ht="20.100000000000001" customHeight="1" thickBot="1" x14ac:dyDescent="0.25">
      <c r="B35" s="9" t="s">
        <v>54</v>
      </c>
      <c r="C35" s="14">
        <f>[1086]NºAsuntos!$E$36/Población!$D$35*1000</f>
        <v>109.37198306422589</v>
      </c>
      <c r="D35" s="14">
        <f>[1086]NºAsuntos!$E$17/Población!$D$35*1000</f>
        <v>19.696101404569443</v>
      </c>
      <c r="E35" s="14">
        <f>[1086]NºAsuntos!$E$28/Población!$D$35*1000</f>
        <v>84.014662018236393</v>
      </c>
      <c r="F35" s="14">
        <f>[1086]NºAsuntos!$E$31/Población!$D$35*1000</f>
        <v>1.3871146624816377</v>
      </c>
      <c r="G35" s="14">
        <f>[1086]NºAsuntos!$E$35/Población!$D$35*1000</f>
        <v>4.2741049789384098</v>
      </c>
    </row>
    <row r="36" spans="2:7" ht="20.100000000000001" customHeight="1" thickBot="1" x14ac:dyDescent="0.25">
      <c r="B36" s="9" t="s">
        <v>55</v>
      </c>
      <c r="C36" s="14">
        <f>[1087]NºAsuntos!$E$36/Población!$D$36*1000</f>
        <v>116.78529361427952</v>
      </c>
      <c r="D36" s="14">
        <f>[1087]NºAsuntos!$E$17/Población!$D$36*1000</f>
        <v>25.64556885564426</v>
      </c>
      <c r="E36" s="14">
        <f>[1087]NºAsuntos!$E$28/Población!$D$36*1000</f>
        <v>79.165617984315062</v>
      </c>
      <c r="F36" s="14">
        <f>[1087]NºAsuntos!$E$31/Población!$D$36*1000</f>
        <v>2.3517330944015464</v>
      </c>
      <c r="G36" s="14">
        <f>[1087]NºAsuntos!$E$35/Población!$D$36*1000</f>
        <v>9.6223736799186561</v>
      </c>
    </row>
    <row r="37" spans="2:7" ht="20.100000000000001" customHeight="1" thickBot="1" x14ac:dyDescent="0.25">
      <c r="B37" s="9" t="s">
        <v>56</v>
      </c>
      <c r="C37" s="14">
        <f>[1088]NºAsuntos!$E$36/Población!$D$37*1000</f>
        <v>122.17865276037246</v>
      </c>
      <c r="D37" s="14">
        <f>[1088]NºAsuntos!$E$17/Población!$D$37*1000</f>
        <v>19.732923690558003</v>
      </c>
      <c r="E37" s="14">
        <f>[1088]NºAsuntos!$E$28/Población!$D$37*1000</f>
        <v>98.696958671895004</v>
      </c>
      <c r="F37" s="14">
        <f>[1088]NºAsuntos!$E$31/Población!$D$37*1000</f>
        <v>1.134602686933204</v>
      </c>
      <c r="G37" s="14">
        <f>[1088]NºAsuntos!$E$35/Población!$D$37*1000</f>
        <v>2.614167710986242</v>
      </c>
    </row>
    <row r="38" spans="2:7" ht="20.100000000000001" customHeight="1" thickBot="1" x14ac:dyDescent="0.25">
      <c r="B38" s="9" t="s">
        <v>57</v>
      </c>
      <c r="C38" s="14">
        <f>[1089]NºAsuntos!$E$36/Población!$D$38*1000</f>
        <v>95.811842490781743</v>
      </c>
      <c r="D38" s="14">
        <f>[1089]NºAsuntos!$E$17/Población!$D$38*1000</f>
        <v>23.135479377083438</v>
      </c>
      <c r="E38" s="14">
        <f>[1089]NºAsuntos!$E$28/Población!$D$38*1000</f>
        <v>63.400058598824707</v>
      </c>
      <c r="F38" s="14">
        <f>[1089]NºAsuntos!$E$31/Población!$D$38*1000</f>
        <v>1.5921190108960646</v>
      </c>
      <c r="G38" s="14">
        <f>[1089]NºAsuntos!$E$35/Población!$D$38*1000</f>
        <v>7.6841855039775337</v>
      </c>
    </row>
    <row r="39" spans="2:7" ht="20.100000000000001" customHeight="1" thickBot="1" x14ac:dyDescent="0.25">
      <c r="B39" s="9" t="s">
        <v>58</v>
      </c>
      <c r="C39" s="14">
        <f>[1090]NºAsuntos!$E$36/Población!$D$39*1000</f>
        <v>178.83893911367011</v>
      </c>
      <c r="D39" s="14">
        <f>[1090]NºAsuntos!$E$17/Población!$D$39*1000</f>
        <v>23.997168885530922</v>
      </c>
      <c r="E39" s="14">
        <f>[1090]NºAsuntos!$E$28/Población!$D$39*1000</f>
        <v>145.26251494440538</v>
      </c>
      <c r="F39" s="14">
        <f>[1090]NºAsuntos!$E$31/Población!$D$39*1000</f>
        <v>1.673375365830359</v>
      </c>
      <c r="G39" s="14">
        <f>[1090]NºAsuntos!$E$35/Población!$D$39*1000</f>
        <v>7.9058799179034693</v>
      </c>
    </row>
    <row r="40" spans="2:7" ht="20.100000000000001" customHeight="1" thickBot="1" x14ac:dyDescent="0.25">
      <c r="B40" s="9" t="s">
        <v>59</v>
      </c>
      <c r="C40" s="14">
        <f>[1091]NºAsuntos!$E$36/Población!$D$40*1000</f>
        <v>274.36711002172916</v>
      </c>
      <c r="D40" s="14">
        <f>[1091]NºAsuntos!$E$17/Población!$D$40*1000</f>
        <v>29.769700979691883</v>
      </c>
      <c r="E40" s="14">
        <f>[1091]NºAsuntos!$E$28/Población!$D$40*1000</f>
        <v>230.69225043420727</v>
      </c>
      <c r="F40" s="14">
        <f>[1091]NºAsuntos!$E$31/Población!$D$40*1000</f>
        <v>2.5548680085112143</v>
      </c>
      <c r="G40" s="14">
        <f>[1091]NºAsuntos!$E$35/Población!$D$40*1000</f>
        <v>11.350290599318802</v>
      </c>
    </row>
    <row r="41" spans="2:7" ht="20.100000000000001" customHeight="1" thickBot="1" x14ac:dyDescent="0.25">
      <c r="B41" s="9" t="s">
        <v>60</v>
      </c>
      <c r="C41" s="14">
        <f>[1092]NºAsuntos!$E$36/Población!$D$41*1000</f>
        <v>151.84927705374031</v>
      </c>
      <c r="D41" s="14">
        <f>[1092]NºAsuntos!$E$17/Población!$D$41*1000</f>
        <v>22.654570971472534</v>
      </c>
      <c r="E41" s="14">
        <f>[1092]NºAsuntos!$E$28/Población!$D$41*1000</f>
        <v>117.59154290203774</v>
      </c>
      <c r="F41" s="14">
        <f>[1092]NºAsuntos!$E$31/Población!$D$41*1000</f>
        <v>3.9046677527907656</v>
      </c>
      <c r="G41" s="14">
        <f>[1092]NºAsuntos!$E$35/Población!$D$41*1000</f>
        <v>7.6984954274392763</v>
      </c>
    </row>
    <row r="42" spans="2:7" ht="20.100000000000001" customHeight="1" thickBot="1" x14ac:dyDescent="0.25">
      <c r="B42" s="9" t="s">
        <v>61</v>
      </c>
      <c r="C42" s="14">
        <f>[1093]NºAsuntos!$E$36/Población!$D$42*1000</f>
        <v>101.94548020813583</v>
      </c>
      <c r="D42" s="14">
        <f>[1093]NºAsuntos!$E$17/Población!$D$42*1000</f>
        <v>17.235810037427935</v>
      </c>
      <c r="E42" s="14">
        <f>[1093]NºAsuntos!$E$28/Población!$D$42*1000</f>
        <v>78.856727548505333</v>
      </c>
      <c r="F42" s="14">
        <f>[1093]NºAsuntos!$E$31/Población!$D$42*1000</f>
        <v>1.8187308208163924</v>
      </c>
      <c r="G42" s="14">
        <f>[1093]NºAsuntos!$E$35/Población!$D$42*1000</f>
        <v>4.0342118013861681</v>
      </c>
    </row>
    <row r="43" spans="2:7" ht="20.100000000000001" customHeight="1" thickBot="1" x14ac:dyDescent="0.25">
      <c r="B43" s="9" t="s">
        <v>62</v>
      </c>
      <c r="C43" s="14">
        <f>[1094]NºAsuntos!$E$36/Población!$D$43*1000</f>
        <v>104.26508575550952</v>
      </c>
      <c r="D43" s="14">
        <f>[1094]NºAsuntos!$E$17/Población!$D$43*1000</f>
        <v>19.920411440273675</v>
      </c>
      <c r="E43" s="14">
        <f>[1094]NºAsuntos!$E$28/Población!$D$43*1000</f>
        <v>73.142351818668402</v>
      </c>
      <c r="F43" s="14">
        <f>[1094]NºAsuntos!$E$31/Población!$D$43*1000</f>
        <v>2.2311558958367272</v>
      </c>
      <c r="G43" s="14">
        <f>[1094]NºAsuntos!$E$35/Población!$D$43*1000</f>
        <v>8.971166600730724</v>
      </c>
    </row>
    <row r="44" spans="2:7" ht="20.100000000000001" customHeight="1" thickBot="1" x14ac:dyDescent="0.25">
      <c r="B44" s="9" t="s">
        <v>63</v>
      </c>
      <c r="C44" s="14">
        <f>[1095]NºAsuntos!$E$36/Población!$D$44*1000</f>
        <v>120.31227821149753</v>
      </c>
      <c r="D44" s="14">
        <f>[1095]NºAsuntos!$E$17/Población!$D$44*1000</f>
        <v>24.692689850958129</v>
      </c>
      <c r="E44" s="14">
        <f>[1095]NºAsuntos!$E$28/Población!$D$44*1000</f>
        <v>84.638750887154018</v>
      </c>
      <c r="F44" s="14">
        <f>[1095]NºAsuntos!$E$31/Población!$D$44*1000</f>
        <v>1.4932576295244855</v>
      </c>
      <c r="G44" s="14">
        <f>[1095]NºAsuntos!$E$35/Población!$D$44*1000</f>
        <v>9.4875798438608943</v>
      </c>
    </row>
    <row r="45" spans="2:7" ht="20.100000000000001" customHeight="1" thickBot="1" x14ac:dyDescent="0.25">
      <c r="B45" s="9" t="s">
        <v>64</v>
      </c>
      <c r="C45" s="14">
        <f>[1096]NºAsuntos!$E$36/Población!$D$45*1000</f>
        <v>185.33663779642643</v>
      </c>
      <c r="D45" s="14">
        <f>[1096]NºAsuntos!$E$17/Población!$D$45*1000</f>
        <v>28.953657954422383</v>
      </c>
      <c r="E45" s="14">
        <f>[1096]NºAsuntos!$E$28/Población!$D$45*1000</f>
        <v>142.67793997499572</v>
      </c>
      <c r="F45" s="14">
        <f>[1096]NºAsuntos!$E$31/Población!$D$45*1000</f>
        <v>2.1492328899927133</v>
      </c>
      <c r="G45" s="14">
        <f>[1096]NºAsuntos!$E$35/Población!$D$45*1000</f>
        <v>11.555806977015616</v>
      </c>
    </row>
    <row r="46" spans="2:7" ht="20.100000000000001" customHeight="1" thickBot="1" x14ac:dyDescent="0.25">
      <c r="B46" s="9" t="s">
        <v>65</v>
      </c>
      <c r="C46" s="14">
        <f>[1097]NºAsuntos!$E$36/Población!$D$46*1000</f>
        <v>167.61528544439059</v>
      </c>
      <c r="D46" s="14">
        <f>[1097]NºAsuntos!$E$17/Población!$D$46*1000</f>
        <v>26.543208534525302</v>
      </c>
      <c r="E46" s="14">
        <f>[1097]NºAsuntos!$E$28/Población!$D$46*1000</f>
        <v>131.38551243893585</v>
      </c>
      <c r="F46" s="14">
        <f>[1097]NºAsuntos!$E$31/Población!$D$46*1000</f>
        <v>2.0077527300871587</v>
      </c>
      <c r="G46" s="14">
        <f>[1097]NºAsuntos!$E$35/Población!$D$46*1000</f>
        <v>7.6788117408422778</v>
      </c>
    </row>
    <row r="47" spans="2:7" ht="20.100000000000001" customHeight="1" thickBot="1" x14ac:dyDescent="0.25">
      <c r="B47" s="9" t="s">
        <v>30</v>
      </c>
      <c r="C47" s="14">
        <f>[1098]NºAsuntos!$E$36/Población!$D$47*1000</f>
        <v>108.21194969000121</v>
      </c>
      <c r="D47" s="14">
        <f>[1098]NºAsuntos!$E$17/Población!$D$47*1000</f>
        <v>22.012399951706946</v>
      </c>
      <c r="E47" s="14">
        <f>[1098]NºAsuntos!$E$28/Población!$D$47*1000</f>
        <v>78.124667097516465</v>
      </c>
      <c r="F47" s="14">
        <f>[1098]NºAsuntos!$E$31/Población!$D$47*1000</f>
        <v>1.6867059166092595</v>
      </c>
      <c r="G47" s="14">
        <f>[1098]NºAsuntos!$E$35/Población!$D$47*1000</f>
        <v>6.3881767241685425</v>
      </c>
    </row>
    <row r="48" spans="2:7" ht="20.100000000000001" customHeight="1" thickBot="1" x14ac:dyDescent="0.25">
      <c r="B48" s="9" t="s">
        <v>66</v>
      </c>
      <c r="C48" s="14">
        <f>[1099]NºAsuntos!$E$36/Población!$D$48*1000</f>
        <v>114.83060613044481</v>
      </c>
      <c r="D48" s="14">
        <f>[1099]NºAsuntos!$E$17/Población!$D$48*1000</f>
        <v>22.450449412306984</v>
      </c>
      <c r="E48" s="14">
        <f>[1099]NºAsuntos!$E$28/Población!$D$48*1000</f>
        <v>82.403779672735652</v>
      </c>
      <c r="F48" s="14">
        <f>[1099]NºAsuntos!$E$31/Población!$D$48*1000</f>
        <v>1.6075132519013597</v>
      </c>
      <c r="G48" s="14">
        <f>[1099]NºAsuntos!$E$35/Población!$D$48*1000</f>
        <v>8.3688637935008074</v>
      </c>
    </row>
    <row r="49" spans="2:7" ht="20.100000000000001" customHeight="1" thickBot="1" x14ac:dyDescent="0.25">
      <c r="B49" s="9" t="s">
        <v>67</v>
      </c>
      <c r="C49" s="14">
        <f>[1100]NºAsuntos!$E$36/Población!$D$49*1000</f>
        <v>174.88165355689031</v>
      </c>
      <c r="D49" s="14">
        <f>[1100]NºAsuntos!$E$17/Población!$D$49*1000</f>
        <v>26.140393718957164</v>
      </c>
      <c r="E49" s="14">
        <f>[1100]NºAsuntos!$E$28/Población!$D$49*1000</f>
        <v>140.22905329566561</v>
      </c>
      <c r="F49" s="14">
        <f>[1100]NºAsuntos!$E$31/Población!$D$49*1000</f>
        <v>1.3430893070376086</v>
      </c>
      <c r="G49" s="14">
        <f>[1100]NºAsuntos!$E$35/Población!$D$49*1000</f>
        <v>7.1691172352299377</v>
      </c>
    </row>
    <row r="50" spans="2:7" ht="20.100000000000001" customHeight="1" thickBot="1" x14ac:dyDescent="0.25">
      <c r="B50" s="9" t="s">
        <v>68</v>
      </c>
      <c r="C50" s="14">
        <f>[1101]NºAsuntos!$E$36/Población!$D$50*1000</f>
        <v>106.15864850019426</v>
      </c>
      <c r="D50" s="14">
        <f>[1101]NºAsuntos!$E$17/Población!$D$50*1000</f>
        <v>22.701391959058451</v>
      </c>
      <c r="E50" s="14">
        <f>[1101]NºAsuntos!$E$28/Población!$D$50*1000</f>
        <v>76.631432284340121</v>
      </c>
      <c r="F50" s="14">
        <f>[1101]NºAsuntos!$E$31/Población!$D$50*1000</f>
        <v>3.0411425049904213</v>
      </c>
      <c r="G50" s="14">
        <f>[1101]NºAsuntos!$E$35/Población!$D$50*1000</f>
        <v>3.7846817518052598</v>
      </c>
    </row>
    <row r="51" spans="2:7" ht="20.100000000000001" customHeight="1" thickBot="1" x14ac:dyDescent="0.25">
      <c r="B51" s="9" t="s">
        <v>69</v>
      </c>
      <c r="C51" s="14">
        <f>[1102]NºAsuntos!$E$36/Población!$D$51*1000</f>
        <v>212.57391739446871</v>
      </c>
      <c r="D51" s="14">
        <f>[1102]NºAsuntos!$E$17/Población!$D$51*1000</f>
        <v>23.198121360989809</v>
      </c>
      <c r="E51" s="14">
        <f>[1102]NºAsuntos!$E$28/Población!$D$51*1000</f>
        <v>181.27672398107714</v>
      </c>
      <c r="F51" s="14">
        <f>[1102]NºAsuntos!$E$31/Población!$D$51*1000</f>
        <v>2.3357896652110623</v>
      </c>
      <c r="G51" s="14">
        <f>[1102]NºAsuntos!$E$35/Población!$D$51*1000</f>
        <v>5.7632823871906842</v>
      </c>
    </row>
    <row r="52" spans="2:7" ht="20.100000000000001" customHeight="1" thickBot="1" x14ac:dyDescent="0.25">
      <c r="B52" s="9" t="s">
        <v>70</v>
      </c>
      <c r="C52" s="14">
        <f>[1103]NºAsuntos!$E$36/Población!$D$52*1000</f>
        <v>113.56804791937653</v>
      </c>
      <c r="D52" s="14">
        <f>[1103]NºAsuntos!$E$17/Población!$D$52*1000</f>
        <v>24.222020614950758</v>
      </c>
      <c r="E52" s="14">
        <f>[1103]NºAsuntos!$E$28/Población!$D$52*1000</f>
        <v>81.913277296227875</v>
      </c>
      <c r="F52" s="14">
        <f>[1103]NºAsuntos!$E$31/Población!$D$52*1000</f>
        <v>1.7488823548700907</v>
      </c>
      <c r="G52" s="14">
        <f>[1103]NºAsuntos!$E$35/Población!$D$52*1000</f>
        <v>5.6838676533277948</v>
      </c>
    </row>
    <row r="53" spans="2:7" ht="20.100000000000001" customHeight="1" thickBot="1" x14ac:dyDescent="0.25">
      <c r="B53" s="9" t="s">
        <v>71</v>
      </c>
      <c r="C53" s="14">
        <f>[1104]NºAsuntos!$E$36/Población!$D$53*1000</f>
        <v>208.60136004410953</v>
      </c>
      <c r="D53" s="14">
        <f>[1104]NºAsuntos!$E$17/Población!$D$53*1000</f>
        <v>25.418438547680765</v>
      </c>
      <c r="E53" s="14">
        <f>[1104]NºAsuntos!$E$28/Población!$D$53*1000</f>
        <v>178.68799472713562</v>
      </c>
      <c r="F53" s="14">
        <f>[1104]NºAsuntos!$E$31/Población!$D$53*1000</f>
        <v>0.85240415998580388</v>
      </c>
      <c r="G53" s="14">
        <f>[1104]NºAsuntos!$E$35/Población!$D$53*1000</f>
        <v>3.6425226093073664</v>
      </c>
    </row>
    <row r="54" spans="2:7" ht="20.100000000000001" customHeight="1" thickBot="1" x14ac:dyDescent="0.25">
      <c r="B54" s="9" t="s">
        <v>72</v>
      </c>
      <c r="C54" s="14">
        <f>[1105]NºAsuntos!$E$36/Población!$D$54*1000</f>
        <v>78.664938620378322</v>
      </c>
      <c r="D54" s="14">
        <f>[1105]NºAsuntos!$E$17/Población!$D$54*1000</f>
        <v>11.788091042798271</v>
      </c>
      <c r="E54" s="14">
        <f>[1105]NºAsuntos!$E$28/Población!$D$54*1000</f>
        <v>61.714551994291618</v>
      </c>
      <c r="F54" s="14">
        <f>[1105]NºAsuntos!$E$31/Población!$D$54*1000</f>
        <v>0.88829345720901109</v>
      </c>
      <c r="G54" s="14">
        <f>[1105]NºAsuntos!$E$35/Población!$D$54*1000</f>
        <v>4.2740021260794219</v>
      </c>
    </row>
    <row r="55" spans="2:7" ht="20.100000000000001" customHeight="1" thickBot="1" x14ac:dyDescent="0.25">
      <c r="B55" s="9" t="s">
        <v>73</v>
      </c>
      <c r="C55" s="14">
        <f>[1106]NºAsuntos!$E$36/Población!$D$55*1000</f>
        <v>97.954762523374399</v>
      </c>
      <c r="D55" s="14">
        <f>[1106]NºAsuntos!$E$17/Población!$D$55*1000</f>
        <v>16.71064043122345</v>
      </c>
      <c r="E55" s="14">
        <f>[1106]NºAsuntos!$E$28/Población!$D$55*1000</f>
        <v>74.058894349523726</v>
      </c>
      <c r="F55" s="14">
        <f>[1106]NºAsuntos!$E$31/Población!$D$55*1000</f>
        <v>1.9779045555844244</v>
      </c>
      <c r="G55" s="14">
        <f>[1106]NºAsuntos!$E$35/Población!$D$55*1000</f>
        <v>5.2073231870428041</v>
      </c>
    </row>
    <row r="56" spans="2:7" ht="20.100000000000001" customHeight="1" thickBot="1" x14ac:dyDescent="0.25">
      <c r="B56" s="9" t="s">
        <v>74</v>
      </c>
      <c r="C56" s="14">
        <f>[1107]NºAsuntos!$E$36/Población!$D$56*1000</f>
        <v>200.362689707577</v>
      </c>
      <c r="D56" s="14">
        <f>[1107]NºAsuntos!$E$17/Población!$D$56*1000</f>
        <v>26.737781603817062</v>
      </c>
      <c r="E56" s="14">
        <f>[1107]NºAsuntos!$E$28/Población!$D$56*1000</f>
        <v>163.72944159280053</v>
      </c>
      <c r="F56" s="14">
        <f>[1107]NºAsuntos!$E$31/Población!$D$56*1000</f>
        <v>1.7799314929241548</v>
      </c>
      <c r="G56" s="14">
        <f>[1107]NºAsuntos!$E$35/Población!$D$56*1000</f>
        <v>8.1155350180352581</v>
      </c>
    </row>
    <row r="57" spans="2:7" ht="20.100000000000001" customHeight="1" thickBot="1" x14ac:dyDescent="0.25">
      <c r="B57" s="9" t="s">
        <v>75</v>
      </c>
      <c r="C57" s="14">
        <f>[1108]NºAsuntos!$E$36/Población!$D$57*1000</f>
        <v>120.45925727865718</v>
      </c>
      <c r="D57" s="14">
        <f>[1108]NºAsuntos!$E$17/Población!$D$57*1000</f>
        <v>25.702524358634118</v>
      </c>
      <c r="E57" s="14">
        <f>[1108]NºAsuntos!$E$28/Población!$D$57*1000</f>
        <v>87.254094026422848</v>
      </c>
      <c r="F57" s="14">
        <f>[1108]NºAsuntos!$E$31/Población!$D$57*1000</f>
        <v>1.8976089329292019</v>
      </c>
      <c r="G57" s="14">
        <f>[1108]NºAsuntos!$E$35/Población!$D$57*1000</f>
        <v>5.6050299606710077</v>
      </c>
    </row>
    <row r="58" spans="2:7" ht="20.100000000000001" customHeight="1" thickBot="1" x14ac:dyDescent="0.25">
      <c r="B58" s="9" t="s">
        <v>76</v>
      </c>
      <c r="C58" s="14">
        <f>[1109]NºAsuntos!$E$36/Población!$D$58*1000</f>
        <v>94.768733991767917</v>
      </c>
      <c r="D58" s="14">
        <f>[1109]NºAsuntos!$E$17/Población!$D$58*1000</f>
        <v>21.242986276522586</v>
      </c>
      <c r="E58" s="14">
        <f>[1109]NºAsuntos!$E$28/Población!$D$58*1000</f>
        <v>64.486391134055552</v>
      </c>
      <c r="F58" s="14">
        <f>[1109]NºAsuntos!$E$31/Población!$D$58*1000</f>
        <v>1.3853038200500303</v>
      </c>
      <c r="G58" s="14">
        <f>[1109]NºAsuntos!$E$35/Población!$D$58*1000</f>
        <v>7.6540527611397362</v>
      </c>
    </row>
    <row r="59" spans="2:7" ht="20.100000000000001" customHeight="1" thickBot="1" x14ac:dyDescent="0.25">
      <c r="B59" s="9" t="s">
        <v>77</v>
      </c>
      <c r="C59" s="14">
        <f>[1110]NºAsuntos!$E$36/Población!$D$59*1000</f>
        <v>138.12529484888242</v>
      </c>
      <c r="D59" s="14">
        <f>[1110]NºAsuntos!$E$17/Población!$D$59*1000</f>
        <v>23.900120407387895</v>
      </c>
      <c r="E59" s="14">
        <f>[1110]NºAsuntos!$E$28/Población!$D$59*1000</f>
        <v>99.192042322795103</v>
      </c>
      <c r="F59" s="14">
        <f>[1110]NºAsuntos!$E$31/Población!$D$59*1000</f>
        <v>1.3303352008530676</v>
      </c>
      <c r="G59" s="14">
        <f>[1110]NºAsuntos!$E$35/Población!$D$59*1000</f>
        <v>13.702796917846349</v>
      </c>
    </row>
    <row r="60" spans="2:7" ht="20.100000000000001" customHeight="1" thickBot="1" x14ac:dyDescent="0.25">
      <c r="B60" s="9" t="s">
        <v>78</v>
      </c>
      <c r="C60" s="14">
        <f>[1111]NºAsuntos!$E$61/Población!$D$60*1000</f>
        <v>267.22870049374939</v>
      </c>
      <c r="D60" s="14">
        <f>[1111]NºAsuntos!$E$21/Población!$D$60*1000</f>
        <v>28.745141296354657</v>
      </c>
      <c r="E60" s="14">
        <f>[1111]NºAsuntos!$E$40/Población!$D$60*1000</f>
        <v>226.74388065973318</v>
      </c>
      <c r="F60" s="14">
        <f>[1111]NºAsuntos!$E$47/Población!$D$60*1000</f>
        <v>2.363693665300977</v>
      </c>
      <c r="G60" s="14">
        <f>[1111]NºAsuntos!$E$54/Población!$D$60*1000</f>
        <v>9.3759848723605419</v>
      </c>
    </row>
    <row r="61" spans="2:7" ht="20.100000000000001" customHeight="1" thickBot="1" x14ac:dyDescent="0.25">
      <c r="B61" s="9" t="s">
        <v>79</v>
      </c>
      <c r="C61" s="14">
        <f>[1112]NºAsuntos!$E$61/Población!$D$61*1000</f>
        <v>250.04336262719707</v>
      </c>
      <c r="D61" s="14">
        <f>[1112]NºAsuntos!$E$21/Población!$D$61*1000</f>
        <v>26.133209990749307</v>
      </c>
      <c r="E61" s="14">
        <f>[1112]NºAsuntos!$E$40/Población!$D$61*1000</f>
        <v>203.65980573543015</v>
      </c>
      <c r="F61" s="14">
        <f>[1112]NºAsuntos!$E$47/Población!$D$61*1000</f>
        <v>2.5439407955596671</v>
      </c>
      <c r="G61" s="14">
        <f>[1112]NºAsuntos!$E$54/Población!$D$61*1000</f>
        <v>17.706406105457912</v>
      </c>
    </row>
    <row r="62" spans="2:7" ht="20.100000000000001" customHeight="1" thickBot="1" x14ac:dyDescent="0.25">
      <c r="B62" s="12" t="s">
        <v>6</v>
      </c>
      <c r="C62" s="15">
        <f>[1113]NºAsuntos!$E$60/Población!$S$62*1000</f>
        <v>152.6650959419251</v>
      </c>
      <c r="D62" s="15">
        <f>[1113]NºAsuntos!$E$20/Población!$S$62*1000</f>
        <v>21.509064691305092</v>
      </c>
      <c r="E62" s="15">
        <f>[1113]NºAsuntos!$E$39/Población!$S$62*1000</f>
        <v>118.92670062860769</v>
      </c>
      <c r="F62" s="15">
        <f>[1113]NºAsuntos!$E$46/Población!$S$62*1000</f>
        <v>4.1839398720247551</v>
      </c>
      <c r="G62" s="15">
        <f>[1113]NºAsuntos!$E$53/Población!$S$62*1000</f>
        <v>8.0349338527169003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2"/>
  <dimension ref="B8:G62"/>
  <sheetViews>
    <sheetView workbookViewId="0"/>
  </sheetViews>
  <sheetFormatPr baseColWidth="10" defaultColWidth="11.42578125" defaultRowHeight="12.75" x14ac:dyDescent="0.2"/>
  <cols>
    <col min="1" max="1" width="11.42578125" style="1"/>
    <col min="2" max="2" width="32.140625" style="1" bestFit="1" customWidth="1"/>
    <col min="3" max="5" width="11.42578125" style="1"/>
    <col min="6" max="6" width="19" style="1" customWidth="1"/>
    <col min="7" max="16384" width="11.42578125" style="1"/>
  </cols>
  <sheetData>
    <row r="8" spans="2:7" ht="13.5" thickBot="1" x14ac:dyDescent="0.25"/>
    <row r="9" spans="2:7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7" ht="20.100000000000001" customHeight="1" thickBot="1" x14ac:dyDescent="0.25">
      <c r="B10" s="9" t="s">
        <v>31</v>
      </c>
      <c r="C10" s="14">
        <f>[1114]NºAsuntos!$E$36/Población!$C$10*1000</f>
        <v>104.77479219021845</v>
      </c>
      <c r="D10" s="14">
        <f>[1114]NºAsuntos!$E$17/Población!$C$10*1000</f>
        <v>17.610398521031467</v>
      </c>
      <c r="E10" s="14">
        <f>[1114]NºAsuntos!$E$28/Población!$C$10*1000</f>
        <v>79.611634625071133</v>
      </c>
      <c r="F10" s="14">
        <f>[1114]NºAsuntos!$E$31/Población!$C$10*1000</f>
        <v>2.4667626870832575</v>
      </c>
      <c r="G10" s="14">
        <f>[1114]NºAsuntos!$E$35/Población!$C$10*1000</f>
        <v>5.0859963570325881</v>
      </c>
    </row>
    <row r="11" spans="2:7" ht="20.100000000000001" customHeight="1" thickBot="1" x14ac:dyDescent="0.25">
      <c r="B11" s="9" t="s">
        <v>32</v>
      </c>
      <c r="C11" s="14">
        <f>[1115]NºAsuntos!$E$36/Población!$C$11*1000</f>
        <v>214.05723143199364</v>
      </c>
      <c r="D11" s="14">
        <f>[1115]NºAsuntos!$E$17/Población!$C$11*1000</f>
        <v>20.081663328334223</v>
      </c>
      <c r="E11" s="14">
        <f>[1115]NºAsuntos!$E$28/Población!$C$11*1000</f>
        <v>188.05917068440849</v>
      </c>
      <c r="F11" s="14">
        <f>[1115]NºAsuntos!$E$31/Población!$C$11*1000</f>
        <v>1.0971203108172036</v>
      </c>
      <c r="G11" s="14">
        <f>[1115]NºAsuntos!$E$35/Población!$C$11*1000</f>
        <v>4.8192771084337354</v>
      </c>
    </row>
    <row r="12" spans="2:7" ht="20.100000000000001" customHeight="1" thickBot="1" x14ac:dyDescent="0.25">
      <c r="B12" s="9" t="s">
        <v>33</v>
      </c>
      <c r="C12" s="14">
        <f>[1116]NºAsuntos!$E$36/Población!$C$12*1000</f>
        <v>181.76822314917624</v>
      </c>
      <c r="D12" s="14">
        <f>[1116]NºAsuntos!$E$17/Población!$C$12*1000</f>
        <v>18.210020106232932</v>
      </c>
      <c r="E12" s="14">
        <f>[1116]NºAsuntos!$E$28/Población!$C$12*1000</f>
        <v>154.96991567385891</v>
      </c>
      <c r="F12" s="14">
        <f>[1116]NºAsuntos!$E$31/Población!$C$12*1000</f>
        <v>2.7120907481319207</v>
      </c>
      <c r="G12" s="14">
        <f>[1116]NºAsuntos!$E$35/Población!$C$12*1000</f>
        <v>5.876196620952495</v>
      </c>
    </row>
    <row r="13" spans="2:7" ht="20.100000000000001" customHeight="1" thickBot="1" x14ac:dyDescent="0.25">
      <c r="B13" s="9" t="s">
        <v>34</v>
      </c>
      <c r="C13" s="14">
        <f>[1117]NºAsuntos!$E$36/Población!$C$13*1000</f>
        <v>101.43251394597515</v>
      </c>
      <c r="D13" s="14">
        <f>[1117]NºAsuntos!$E$17/Población!$C$13*1000</f>
        <v>8.341614928339677</v>
      </c>
      <c r="E13" s="14">
        <f>[1117]NºAsuntos!$E$28/Población!$C$13*1000</f>
        <v>83.835134508107885</v>
      </c>
      <c r="F13" s="14">
        <f>[1117]NºAsuntos!$E$31/Población!$C$13*1000</f>
        <v>3.0956428999317849</v>
      </c>
      <c r="G13" s="14">
        <f>[1117]NºAsuntos!$E$35/Población!$C$13*1000</f>
        <v>6.1601216095957998</v>
      </c>
    </row>
    <row r="14" spans="2:7" ht="20.100000000000001" customHeight="1" thickBot="1" x14ac:dyDescent="0.25">
      <c r="B14" s="9" t="s">
        <v>35</v>
      </c>
      <c r="C14" s="14">
        <f>[1118]NºAsuntos!$E$36/Población!$C$14*1000</f>
        <v>112.49394371397032</v>
      </c>
      <c r="D14" s="14">
        <f>[1118]NºAsuntos!$E$17/Población!$C$14*1000</f>
        <v>25.010020189170014</v>
      </c>
      <c r="E14" s="14">
        <f>[1118]NºAsuntos!$E$28/Población!$C$14*1000</f>
        <v>75.172342603984447</v>
      </c>
      <c r="F14" s="14">
        <f>[1118]NºAsuntos!$E$31/Población!$C$14*1000</f>
        <v>2.0124073655597496</v>
      </c>
      <c r="G14" s="14">
        <f>[1118]NºAsuntos!$E$35/Población!$C$14*1000</f>
        <v>10.299173555256113</v>
      </c>
    </row>
    <row r="15" spans="2:7" ht="20.100000000000001" customHeight="1" thickBot="1" x14ac:dyDescent="0.25">
      <c r="B15" s="9" t="s">
        <v>36</v>
      </c>
      <c r="C15" s="14">
        <f>[1119]NºAsuntos!$E$36/Población!$C$15*1000</f>
        <v>89.03804497055863</v>
      </c>
      <c r="D15" s="14">
        <f>[1119]NºAsuntos!$E$17/Población!$C$15*1000</f>
        <v>16.413948805564875</v>
      </c>
      <c r="E15" s="14">
        <f>[1119]NºAsuntos!$E$28/Población!$C$15*1000</f>
        <v>68.761631631937036</v>
      </c>
      <c r="F15" s="14">
        <f>[1119]NºAsuntos!$E$31/Población!$C$15*1000</f>
        <v>1.7024132776031975</v>
      </c>
      <c r="G15" s="14">
        <f>[1119]NºAsuntos!$E$35/Población!$C$15*1000</f>
        <v>2.1600512554535189</v>
      </c>
    </row>
    <row r="16" spans="2:7" ht="20.100000000000001" customHeight="1" thickBot="1" x14ac:dyDescent="0.25">
      <c r="B16" s="9" t="s">
        <v>37</v>
      </c>
      <c r="C16" s="14">
        <f>[1120]NºAsuntos!$E$36/Población!$C$16*1000</f>
        <v>154.0938590984432</v>
      </c>
      <c r="D16" s="14">
        <f>[1120]NºAsuntos!$E$17/Población!$C$16*1000</f>
        <v>22.288261515601782</v>
      </c>
      <c r="E16" s="14">
        <f>[1120]NºAsuntos!$E$28/Población!$C$16*1000</f>
        <v>124.50865711907096</v>
      </c>
      <c r="F16" s="14">
        <f>[1120]NºAsuntos!$E$31/Población!$C$16*1000</f>
        <v>2.1347352130444666</v>
      </c>
      <c r="G16" s="14">
        <f>[1120]NºAsuntos!$E$35/Población!$C$16*1000</f>
        <v>5.1622052507260054</v>
      </c>
    </row>
    <row r="17" spans="2:7" ht="20.100000000000001" customHeight="1" thickBot="1" x14ac:dyDescent="0.25">
      <c r="B17" s="9" t="s">
        <v>29</v>
      </c>
      <c r="C17" s="14">
        <f>[1121]NºAsuntos!$E$36/Población!$C$17*1000</f>
        <v>191.58755649439411</v>
      </c>
      <c r="D17" s="14">
        <f>[1121]NºAsuntos!$E$17/Población!$C$17*1000</f>
        <v>13.819288503540182</v>
      </c>
      <c r="E17" s="14">
        <f>[1121]NºAsuntos!$E$28/Población!$C$17*1000</f>
        <v>171.89205430745923</v>
      </c>
      <c r="F17" s="14">
        <f>[1121]NºAsuntos!$E$31/Población!$C$17*1000</f>
        <v>1.0402594047303348</v>
      </c>
      <c r="G17" s="14">
        <f>[1121]NºAsuntos!$E$35/Población!$C$17*1000</f>
        <v>4.8359542786643255</v>
      </c>
    </row>
    <row r="18" spans="2:7" ht="20.100000000000001" customHeight="1" thickBot="1" x14ac:dyDescent="0.25">
      <c r="B18" s="9" t="s">
        <v>38</v>
      </c>
      <c r="C18" s="14">
        <f>[1122]NºAsuntos!$E$36/Población!$C$18*1000</f>
        <v>146.4463475256868</v>
      </c>
      <c r="D18" s="14">
        <f>[1122]NºAsuntos!$E$17/Población!$C$18*1000</f>
        <v>15.204160341139314</v>
      </c>
      <c r="E18" s="14">
        <f>[1122]NºAsuntos!$E$28/Población!$C$18*1000</f>
        <v>122.21335110516867</v>
      </c>
      <c r="F18" s="14">
        <f>[1122]NºAsuntos!$E$31/Población!$C$18*1000</f>
        <v>1.5520523431057613</v>
      </c>
      <c r="G18" s="14">
        <f>[1122]NºAsuntos!$E$35/Población!$C$18*1000</f>
        <v>7.4767837362730676</v>
      </c>
    </row>
    <row r="19" spans="2:7" ht="20.100000000000001" customHeight="1" thickBot="1" x14ac:dyDescent="0.25">
      <c r="B19" s="9" t="s">
        <v>39</v>
      </c>
      <c r="C19" s="14">
        <f>[1123]NºAsuntos!$E$36/Población!$C$19*1000</f>
        <v>108.79503732950974</v>
      </c>
      <c r="D19" s="14">
        <f>[1123]NºAsuntos!$E$17/Población!$C$19*1000</f>
        <v>12.20448942978026</v>
      </c>
      <c r="E19" s="14">
        <f>[1123]NºAsuntos!$E$28/Población!$C$19*1000</f>
        <v>88.956892715624704</v>
      </c>
      <c r="F19" s="14">
        <f>[1123]NºAsuntos!$E$31/Población!$C$19*1000</f>
        <v>1.4462094831787649</v>
      </c>
      <c r="G19" s="14">
        <f>[1123]NºAsuntos!$E$35/Población!$C$19*1000</f>
        <v>6.1874457009259975</v>
      </c>
    </row>
    <row r="20" spans="2:7" ht="20.100000000000001" customHeight="1" thickBot="1" x14ac:dyDescent="0.25">
      <c r="B20" s="9" t="s">
        <v>40</v>
      </c>
      <c r="C20" s="14">
        <f>[1124]NºAsuntos!$E$36/Población!$C$20*1000</f>
        <v>189.69154683971297</v>
      </c>
      <c r="D20" s="14">
        <f>[1124]NºAsuntos!$E$17/Población!$C$20*1000</f>
        <v>35.865183957005236</v>
      </c>
      <c r="E20" s="14">
        <f>[1124]NºAsuntos!$E$28/Población!$C$20*1000</f>
        <v>144.74143106257682</v>
      </c>
      <c r="F20" s="14">
        <f>[1124]NºAsuntos!$E$31/Población!$C$20*1000</f>
        <v>1.7695320316743375</v>
      </c>
      <c r="G20" s="14">
        <f>[1124]NºAsuntos!$E$35/Población!$C$20*1000</f>
        <v>7.3153997884565909</v>
      </c>
    </row>
    <row r="21" spans="2:7" ht="20.100000000000001" customHeight="1" thickBot="1" x14ac:dyDescent="0.25">
      <c r="B21" s="9" t="s">
        <v>41</v>
      </c>
      <c r="C21" s="14">
        <f>[1125]NºAsuntos!$E$36/Población!$C$21*1000</f>
        <v>90.394251215994913</v>
      </c>
      <c r="D21" s="14">
        <f>[1125]NºAsuntos!$E$17/Población!$C$21*1000</f>
        <v>16.029134993767265</v>
      </c>
      <c r="E21" s="14">
        <f>[1125]NºAsuntos!$E$28/Población!$C$21*1000</f>
        <v>67.863515264096975</v>
      </c>
      <c r="F21" s="14">
        <f>[1125]NºAsuntos!$E$31/Población!$C$21*1000</f>
        <v>1.642509715738274</v>
      </c>
      <c r="G21" s="14">
        <f>[1125]NºAsuntos!$E$35/Población!$C$21*1000</f>
        <v>4.8590912423923935</v>
      </c>
    </row>
    <row r="22" spans="2:7" ht="20.100000000000001" customHeight="1" thickBot="1" x14ac:dyDescent="0.25">
      <c r="B22" s="9" t="s">
        <v>42</v>
      </c>
      <c r="C22" s="14">
        <f>[1126]NºAsuntos!$E$36/Población!$C$22*1000</f>
        <v>161.05948136113975</v>
      </c>
      <c r="D22" s="14">
        <f>[1126]NºAsuntos!$E$17/Población!$C$22*1000</f>
        <v>19.445863599641491</v>
      </c>
      <c r="E22" s="14">
        <f>[1126]NºAsuntos!$E$28/Población!$C$22*1000</f>
        <v>133.87239624305917</v>
      </c>
      <c r="F22" s="14">
        <f>[1126]NºAsuntos!$E$31/Población!$C$22*1000</f>
        <v>2.3626724273564408</v>
      </c>
      <c r="G22" s="14">
        <f>[1126]NºAsuntos!$E$35/Población!$C$22*1000</f>
        <v>5.3785490910826566</v>
      </c>
    </row>
    <row r="23" spans="2:7" ht="20.100000000000001" customHeight="1" thickBot="1" x14ac:dyDescent="0.25">
      <c r="B23" s="9" t="s">
        <v>5</v>
      </c>
      <c r="C23" s="14">
        <f>[1127]NºAsuntos!$E$36/Población!$C$23*1000</f>
        <v>134.21167174473501</v>
      </c>
      <c r="D23" s="14">
        <f>[1127]NºAsuntos!$E$17/Población!$C$23*1000</f>
        <v>26.774254751621076</v>
      </c>
      <c r="E23" s="14">
        <f>[1127]NºAsuntos!$E$28/Población!$C$23*1000</f>
        <v>97.593776855169025</v>
      </c>
      <c r="F23" s="14">
        <f>[1127]NºAsuntos!$E$31/Población!$C$23*1000</f>
        <v>2.1409731290201375</v>
      </c>
      <c r="G23" s="14">
        <f>[1127]NºAsuntos!$E$35/Población!$C$23*1000</f>
        <v>7.7026670089247515</v>
      </c>
    </row>
    <row r="24" spans="2:7" ht="20.100000000000001" customHeight="1" thickBot="1" x14ac:dyDescent="0.25">
      <c r="B24" s="9" t="s">
        <v>43</v>
      </c>
      <c r="C24" s="14">
        <f>[1128]NºAsuntos!$E$36/Población!$C$24*1000</f>
        <v>163.20364076319169</v>
      </c>
      <c r="D24" s="14">
        <f>[1128]NºAsuntos!$E$17/Población!$C$24*1000</f>
        <v>19.926912668264723</v>
      </c>
      <c r="E24" s="14">
        <f>[1128]NºAsuntos!$E$28/Población!$C$24*1000</f>
        <v>136.82335991491695</v>
      </c>
      <c r="F24" s="14">
        <f>[1128]NºAsuntos!$E$31/Población!$C$24*1000</f>
        <v>1.4592732901459891</v>
      </c>
      <c r="G24" s="14">
        <f>[1128]NºAsuntos!$E$35/Población!$C$24*1000</f>
        <v>4.9940948898640283</v>
      </c>
    </row>
    <row r="25" spans="2:7" ht="20.100000000000001" customHeight="1" thickBot="1" x14ac:dyDescent="0.25">
      <c r="B25" s="9" t="s">
        <v>44</v>
      </c>
      <c r="C25" s="14">
        <f>[1129]NºAsuntos!$E$36/Población!$C$25*1000</f>
        <v>112.09387752543456</v>
      </c>
      <c r="D25" s="14">
        <f>[1129]NºAsuntos!$E$17/Población!$C$25*1000</f>
        <v>16.659666806663868</v>
      </c>
      <c r="E25" s="14">
        <f>[1129]NºAsuntos!$E$28/Población!$C$25*1000</f>
        <v>89.428957689502937</v>
      </c>
      <c r="F25" s="14">
        <f>[1129]NºAsuntos!$E$31/Población!$C$25*1000</f>
        <v>1.2892279467843479</v>
      </c>
      <c r="G25" s="14">
        <f>[1129]NºAsuntos!$E$35/Población!$C$25*1000</f>
        <v>4.7160250824834247</v>
      </c>
    </row>
    <row r="26" spans="2:7" ht="20.100000000000001" customHeight="1" thickBot="1" x14ac:dyDescent="0.25">
      <c r="B26" s="9" t="s">
        <v>45</v>
      </c>
      <c r="C26" s="14">
        <f>[1130]NºAsuntos!$E$36/Población!$C$26*1000</f>
        <v>128.63277570245248</v>
      </c>
      <c r="D26" s="14">
        <f>[1130]NºAsuntos!$E$17/Población!$C$26*1000</f>
        <v>12.005847003410752</v>
      </c>
      <c r="E26" s="14">
        <f>[1130]NºAsuntos!$E$28/Población!$C$26*1000</f>
        <v>108.22933246711061</v>
      </c>
      <c r="F26" s="14">
        <f>[1130]NºAsuntos!$E$31/Población!$C$26*1000</f>
        <v>2.8897190190027611</v>
      </c>
      <c r="G26" s="14">
        <f>[1130]NºAsuntos!$E$35/Población!$C$26*1000</f>
        <v>5.5078772129283742</v>
      </c>
    </row>
    <row r="27" spans="2:7" ht="20.100000000000001" customHeight="1" thickBot="1" x14ac:dyDescent="0.25">
      <c r="B27" s="9" t="s">
        <v>46</v>
      </c>
      <c r="C27" s="14">
        <f>[1131]NºAsuntos!$E$36/Población!$C$27*1000</f>
        <v>105.55937624661327</v>
      </c>
      <c r="D27" s="14">
        <f>[1131]NºAsuntos!$E$17/Población!$C$27*1000</f>
        <v>15.038781518444914</v>
      </c>
      <c r="E27" s="14">
        <f>[1131]NºAsuntos!$E$28/Población!$C$27*1000</f>
        <v>82.221873245716154</v>
      </c>
      <c r="F27" s="14">
        <f>[1131]NºAsuntos!$E$31/Población!$C$27*1000</f>
        <v>1.9647978974767191</v>
      </c>
      <c r="G27" s="14">
        <f>[1131]NºAsuntos!$E$35/Población!$C$27*1000</f>
        <v>6.3339235849754782</v>
      </c>
    </row>
    <row r="28" spans="2:7" ht="20.100000000000001" customHeight="1" thickBot="1" x14ac:dyDescent="0.25">
      <c r="B28" s="9" t="s">
        <v>47</v>
      </c>
      <c r="C28" s="14">
        <f>[1132]NºAsuntos!$E$36/Población!$C$28*1000</f>
        <v>96.320077806337636</v>
      </c>
      <c r="D28" s="14">
        <f>[1132]NºAsuntos!$E$17/Población!$C$28*1000</f>
        <v>13.745124698550063</v>
      </c>
      <c r="E28" s="14">
        <f>[1132]NºAsuntos!$E$28/Población!$C$28*1000</f>
        <v>77.275388783581263</v>
      </c>
      <c r="F28" s="14">
        <f>[1132]NºAsuntos!$E$31/Población!$C$28*1000</f>
        <v>1.5779601639490686</v>
      </c>
      <c r="G28" s="14">
        <f>[1132]NºAsuntos!$E$35/Población!$C$28*1000</f>
        <v>3.7216041602572374</v>
      </c>
    </row>
    <row r="29" spans="2:7" ht="20.100000000000001" customHeight="1" thickBot="1" x14ac:dyDescent="0.25">
      <c r="B29" s="9" t="s">
        <v>48</v>
      </c>
      <c r="C29" s="14">
        <f>[1133]NºAsuntos!$E$36/Población!$C$29*1000</f>
        <v>90.282015501368249</v>
      </c>
      <c r="D29" s="14">
        <f>[1133]NºAsuntos!$E$17/Población!$C$29*1000</f>
        <v>10.675387350401209</v>
      </c>
      <c r="E29" s="14">
        <f>[1133]NºAsuntos!$E$28/Población!$C$29*1000</f>
        <v>73.308737789841913</v>
      </c>
      <c r="F29" s="14">
        <f>[1133]NºAsuntos!$E$31/Población!$C$29*1000</f>
        <v>0.99254634456209578</v>
      </c>
      <c r="G29" s="14">
        <f>[1133]NºAsuntos!$E$35/Población!$C$29*1000</f>
        <v>5.3053440165630255</v>
      </c>
    </row>
    <row r="30" spans="2:7" ht="20.100000000000001" customHeight="1" thickBot="1" x14ac:dyDescent="0.25">
      <c r="B30" s="9" t="s">
        <v>49</v>
      </c>
      <c r="C30" s="14">
        <f>[1134]NºAsuntos!$E$36/Población!$C$30*1000</f>
        <v>191.1808850168205</v>
      </c>
      <c r="D30" s="14">
        <f>[1134]NºAsuntos!$E$17/Población!$C$30*1000</f>
        <v>19.898214439748124</v>
      </c>
      <c r="E30" s="14">
        <f>[1134]NºAsuntos!$E$28/Población!$C$30*1000</f>
        <v>165.95186750625376</v>
      </c>
      <c r="F30" s="14">
        <f>[1134]NºAsuntos!$E$31/Población!$C$30*1000</f>
        <v>1.3766928318813076</v>
      </c>
      <c r="G30" s="14">
        <f>[1134]NºAsuntos!$E$35/Población!$C$30*1000</f>
        <v>3.9541102389372895</v>
      </c>
    </row>
    <row r="31" spans="2:7" ht="20.100000000000001" customHeight="1" thickBot="1" x14ac:dyDescent="0.25">
      <c r="B31" s="9" t="s">
        <v>50</v>
      </c>
      <c r="C31" s="14">
        <f>[1135]NºAsuntos!$E$36/Población!$C$31*1000</f>
        <v>152.97974372321221</v>
      </c>
      <c r="D31" s="14">
        <f>[1135]NºAsuntos!$E$17/Población!$C$31*1000</f>
        <v>11.961060104327023</v>
      </c>
      <c r="E31" s="14">
        <f>[1135]NºAsuntos!$E$28/Población!$C$31*1000</f>
        <v>130.20573761716486</v>
      </c>
      <c r="F31" s="14">
        <f>[1135]NºAsuntos!$E$31/Población!$C$31*1000</f>
        <v>1.9787432765182977</v>
      </c>
      <c r="G31" s="14">
        <f>[1135]NºAsuntos!$E$35/Población!$C$31*1000</f>
        <v>8.8342027252020277</v>
      </c>
    </row>
    <row r="32" spans="2:7" ht="20.100000000000001" customHeight="1" thickBot="1" x14ac:dyDescent="0.25">
      <c r="B32" s="9" t="s">
        <v>51</v>
      </c>
      <c r="C32" s="14">
        <f>[1136]NºAsuntos!$E$36/Población!$C$32*1000</f>
        <v>124.97376582795047</v>
      </c>
      <c r="D32" s="14">
        <f>[1136]NºAsuntos!$E$17/Población!$C$32*1000</f>
        <v>18.13655761024182</v>
      </c>
      <c r="E32" s="14">
        <f>[1136]NºAsuntos!$E$28/Población!$C$32*1000</f>
        <v>99.031084578970678</v>
      </c>
      <c r="F32" s="14">
        <f>[1136]NºAsuntos!$E$31/Población!$C$32*1000</f>
        <v>1.7780938833570412</v>
      </c>
      <c r="G32" s="14">
        <f>[1136]NºAsuntos!$E$35/Población!$C$32*1000</f>
        <v>6.0280297553809197</v>
      </c>
    </row>
    <row r="33" spans="2:7" ht="20.100000000000001" customHeight="1" thickBot="1" x14ac:dyDescent="0.25">
      <c r="B33" s="9" t="s">
        <v>52</v>
      </c>
      <c r="C33" s="14">
        <f>[1137]NºAsuntos!$E$36/Población!$C$33*1000</f>
        <v>151.94810820176295</v>
      </c>
      <c r="D33" s="14">
        <f>[1137]NºAsuntos!$E$17/Población!$C$33*1000</f>
        <v>18.753384012301559</v>
      </c>
      <c r="E33" s="14">
        <f>[1137]NºAsuntos!$E$28/Población!$C$33*1000</f>
        <v>126.14081822710241</v>
      </c>
      <c r="F33" s="14">
        <f>[1137]NºAsuntos!$E$31/Población!$C$33*1000</f>
        <v>2.486301518203279</v>
      </c>
      <c r="G33" s="14">
        <f>[1137]NºAsuntos!$E$35/Población!$C$33*1000</f>
        <v>4.5676044441556751</v>
      </c>
    </row>
    <row r="34" spans="2:7" ht="20.100000000000001" customHeight="1" thickBot="1" x14ac:dyDescent="0.25">
      <c r="B34" s="9" t="s">
        <v>53</v>
      </c>
      <c r="C34" s="14">
        <f>[1138]NºAsuntos!$E$36/Población!$C$34*1000</f>
        <v>95.336359884440782</v>
      </c>
      <c r="D34" s="14">
        <f>[1138]NºAsuntos!$E$17/Población!$C$34*1000</f>
        <v>17.547522517054698</v>
      </c>
      <c r="E34" s="14">
        <f>[1138]NºAsuntos!$E$28/Población!$C$34*1000</f>
        <v>74.292928066810717</v>
      </c>
      <c r="F34" s="14">
        <f>[1138]NºAsuntos!$E$31/Población!$C$34*1000</f>
        <v>1.0730499380932728</v>
      </c>
      <c r="G34" s="14">
        <f>[1138]NºAsuntos!$E$35/Población!$C$34*1000</f>
        <v>2.4228593624820953</v>
      </c>
    </row>
    <row r="35" spans="2:7" ht="20.100000000000001" customHeight="1" thickBot="1" x14ac:dyDescent="0.25">
      <c r="B35" s="9" t="s">
        <v>54</v>
      </c>
      <c r="C35" s="14">
        <f>[1139]NºAsuntos!$E$36/Población!$C$35*1000</f>
        <v>104.8714657136088</v>
      </c>
      <c r="D35" s="14">
        <f>[1139]NºAsuntos!$E$17/Población!$C$35*1000</f>
        <v>17.862092566984781</v>
      </c>
      <c r="E35" s="14">
        <f>[1139]NºAsuntos!$E$28/Población!$C$35*1000</f>
        <v>81.442470435023637</v>
      </c>
      <c r="F35" s="14">
        <f>[1139]NºAsuntos!$E$31/Población!$C$35*1000</f>
        <v>1.6011620038372141</v>
      </c>
      <c r="G35" s="14">
        <f>[1139]NºAsuntos!$E$35/Población!$C$35*1000</f>
        <v>3.9657407077631577</v>
      </c>
    </row>
    <row r="36" spans="2:7" ht="20.100000000000001" customHeight="1" thickBot="1" x14ac:dyDescent="0.25">
      <c r="B36" s="9" t="s">
        <v>55</v>
      </c>
      <c r="C36" s="14">
        <f>[1140]NºAsuntos!$E$36/Población!$C$36*1000</f>
        <v>96.092825669596834</v>
      </c>
      <c r="D36" s="14">
        <f>[1140]NºAsuntos!$E$17/Población!$C$36*1000</f>
        <v>21.500769743572292</v>
      </c>
      <c r="E36" s="14">
        <f>[1140]NºAsuntos!$E$28/Población!$C$36*1000</f>
        <v>65.269049902205523</v>
      </c>
      <c r="F36" s="14">
        <f>[1140]NºAsuntos!$E$31/Población!$C$36*1000</f>
        <v>1.5675142187352982</v>
      </c>
      <c r="G36" s="14">
        <f>[1140]NºAsuntos!$E$35/Población!$C$36*1000</f>
        <v>7.7554918050837109</v>
      </c>
    </row>
    <row r="37" spans="2:7" ht="20.100000000000001" customHeight="1" thickBot="1" x14ac:dyDescent="0.25">
      <c r="B37" s="9" t="s">
        <v>56</v>
      </c>
      <c r="C37" s="14">
        <f>[1141]NºAsuntos!$E$36/Población!$C$37*1000</f>
        <v>115.19000172591865</v>
      </c>
      <c r="D37" s="14">
        <f>[1141]NºAsuntos!$E$17/Población!$C$37*1000</f>
        <v>17.601630582182494</v>
      </c>
      <c r="E37" s="14">
        <f>[1141]NºAsuntos!$E$28/Población!$C$37*1000</f>
        <v>93.670809784588911</v>
      </c>
      <c r="F37" s="14">
        <f>[1141]NºAsuntos!$E$31/Población!$C$37*1000</f>
        <v>1.2793714368683617</v>
      </c>
      <c r="G37" s="14">
        <f>[1141]NºAsuntos!$E$35/Población!$C$37*1000</f>
        <v>2.6381899222788698</v>
      </c>
    </row>
    <row r="38" spans="2:7" ht="20.100000000000001" customHeight="1" thickBot="1" x14ac:dyDescent="0.25">
      <c r="B38" s="9" t="s">
        <v>57</v>
      </c>
      <c r="C38" s="14">
        <f>[1142]NºAsuntos!$E$36/Población!$C$38*1000</f>
        <v>85.94576038448335</v>
      </c>
      <c r="D38" s="14">
        <f>[1142]NºAsuntos!$E$17/Población!$C$38*1000</f>
        <v>18.867147270854787</v>
      </c>
      <c r="E38" s="14">
        <f>[1142]NºAsuntos!$E$28/Población!$C$38*1000</f>
        <v>58.658427737727429</v>
      </c>
      <c r="F38" s="14">
        <f>[1142]NºAsuntos!$E$31/Población!$C$38*1000</f>
        <v>1.4830072090628219</v>
      </c>
      <c r="G38" s="14">
        <f>[1142]NºAsuntos!$E$35/Población!$C$38*1000</f>
        <v>6.9371781668383106</v>
      </c>
    </row>
    <row r="39" spans="2:7" ht="20.100000000000001" customHeight="1" thickBot="1" x14ac:dyDescent="0.25">
      <c r="B39" s="9" t="s">
        <v>58</v>
      </c>
      <c r="C39" s="14">
        <f>[1143]NºAsuntos!$E$36/Población!$C$39*1000</f>
        <v>161.78368348195315</v>
      </c>
      <c r="D39" s="14">
        <f>[1143]NºAsuntos!$E$17/Población!$C$39*1000</f>
        <v>11.998660569615293</v>
      </c>
      <c r="E39" s="14">
        <f>[1143]NºAsuntos!$E$28/Población!$C$39*1000</f>
        <v>141.52600879340886</v>
      </c>
      <c r="F39" s="14">
        <f>[1143]NºAsuntos!$E$31/Población!$C$39*1000</f>
        <v>1.698113312906834</v>
      </c>
      <c r="G39" s="14">
        <f>[1143]NºAsuntos!$E$35/Población!$C$39*1000</f>
        <v>6.5609008060221505</v>
      </c>
    </row>
    <row r="40" spans="2:7" ht="20.100000000000001" customHeight="1" thickBot="1" x14ac:dyDescent="0.25">
      <c r="B40" s="9" t="s">
        <v>59</v>
      </c>
      <c r="C40" s="14">
        <f>[1144]NºAsuntos!$E$36/Población!$C$40*1000</f>
        <v>264.115677601671</v>
      </c>
      <c r="D40" s="14">
        <f>[1144]NºAsuntos!$E$17/Población!$C$40*1000</f>
        <v>17.347800712618255</v>
      </c>
      <c r="E40" s="14">
        <f>[1144]NºAsuntos!$E$28/Población!$C$40*1000</f>
        <v>235.53031699225949</v>
      </c>
      <c r="F40" s="14">
        <f>[1144]NºAsuntos!$E$31/Población!$C$40*1000</f>
        <v>2.0910124093869027</v>
      </c>
      <c r="G40" s="14">
        <f>[1144]NºAsuntos!$E$35/Población!$C$40*1000</f>
        <v>9.1465474874063144</v>
      </c>
    </row>
    <row r="41" spans="2:7" ht="20.100000000000001" customHeight="1" thickBot="1" x14ac:dyDescent="0.25">
      <c r="B41" s="9" t="s">
        <v>60</v>
      </c>
      <c r="C41" s="14">
        <f>[1145]NºAsuntos!$E$36/Población!$C$41*1000</f>
        <v>133.47776924640743</v>
      </c>
      <c r="D41" s="14">
        <f>[1145]NºAsuntos!$E$17/Población!$C$41*1000</f>
        <v>12.657323976081546</v>
      </c>
      <c r="E41" s="14">
        <f>[1145]NºAsuntos!$E$28/Población!$C$41*1000</f>
        <v>109.96002950323343</v>
      </c>
      <c r="F41" s="14">
        <f>[1145]NºAsuntos!$E$31/Población!$C$41*1000</f>
        <v>3.4190820058838454</v>
      </c>
      <c r="G41" s="14">
        <f>[1145]NºAsuntos!$E$35/Población!$C$41*1000</f>
        <v>7.4413337612086243</v>
      </c>
    </row>
    <row r="42" spans="2:7" ht="20.100000000000001" customHeight="1" thickBot="1" x14ac:dyDescent="0.25">
      <c r="B42" s="9" t="s">
        <v>61</v>
      </c>
      <c r="C42" s="14">
        <f>[1146]NºAsuntos!$E$36/Población!$C$42*1000</f>
        <v>92.395144023600338</v>
      </c>
      <c r="D42" s="14">
        <f>[1146]NºAsuntos!$E$17/Población!$C$42*1000</f>
        <v>10.146279727395134</v>
      </c>
      <c r="E42" s="14">
        <f>[1146]NºAsuntos!$E$28/Población!$C$42*1000</f>
        <v>76.186983495217191</v>
      </c>
      <c r="F42" s="14">
        <f>[1146]NºAsuntos!$E$31/Población!$C$42*1000</f>
        <v>2.0224246444577476</v>
      </c>
      <c r="G42" s="14">
        <f>[1146]NºAsuntos!$E$35/Población!$C$42*1000</f>
        <v>4.0394561565302745</v>
      </c>
    </row>
    <row r="43" spans="2:7" ht="20.100000000000001" customHeight="1" thickBot="1" x14ac:dyDescent="0.25">
      <c r="B43" s="9" t="s">
        <v>62</v>
      </c>
      <c r="C43" s="14">
        <f>[1147]NºAsuntos!$E$36/Población!$C$43*1000</f>
        <v>100.34443435290157</v>
      </c>
      <c r="D43" s="14">
        <f>[1147]NºAsuntos!$E$17/Población!$C$43*1000</f>
        <v>18.544902690766431</v>
      </c>
      <c r="E43" s="14">
        <f>[1147]NºAsuntos!$E$28/Población!$C$43*1000</f>
        <v>70.923879137492278</v>
      </c>
      <c r="F43" s="14">
        <f>[1147]NºAsuntos!$E$31/Población!$C$43*1000</f>
        <v>2.0892395458225366</v>
      </c>
      <c r="G43" s="14">
        <f>[1147]NºAsuntos!$E$35/Población!$C$43*1000</f>
        <v>8.7864129788203336</v>
      </c>
    </row>
    <row r="44" spans="2:7" ht="20.100000000000001" customHeight="1" thickBot="1" x14ac:dyDescent="0.25">
      <c r="B44" s="9" t="s">
        <v>63</v>
      </c>
      <c r="C44" s="14">
        <f>[1148]NºAsuntos!$E$36/Población!$C$44*1000</f>
        <v>118.31740393019257</v>
      </c>
      <c r="D44" s="14">
        <f>[1148]NºAsuntos!$E$17/Población!$C$44*1000</f>
        <v>21.771124080182695</v>
      </c>
      <c r="E44" s="14">
        <f>[1148]NºAsuntos!$E$28/Población!$C$44*1000</f>
        <v>89.063689418929215</v>
      </c>
      <c r="F44" s="14">
        <f>[1148]NºAsuntos!$E$31/Población!$C$44*1000</f>
        <v>1.1221066283233248</v>
      </c>
      <c r="G44" s="14">
        <f>[1148]NºAsuntos!$E$35/Población!$C$44*1000</f>
        <v>6.3604838027573374</v>
      </c>
    </row>
    <row r="45" spans="2:7" ht="20.100000000000001" customHeight="1" thickBot="1" x14ac:dyDescent="0.25">
      <c r="B45" s="9" t="s">
        <v>64</v>
      </c>
      <c r="C45" s="14">
        <f>[1149]NºAsuntos!$E$36/Población!$C$45*1000</f>
        <v>173.09676623857021</v>
      </c>
      <c r="D45" s="14">
        <f>[1149]NºAsuntos!$E$17/Población!$C$45*1000</f>
        <v>17.884221433376812</v>
      </c>
      <c r="E45" s="14">
        <f>[1149]NºAsuntos!$E$28/Población!$C$45*1000</f>
        <v>143.21546079315738</v>
      </c>
      <c r="F45" s="14">
        <f>[1149]NºAsuntos!$E$31/Población!$C$45*1000</f>
        <v>2.5623054475760307</v>
      </c>
      <c r="G45" s="14">
        <f>[1149]NºAsuntos!$E$35/Población!$C$45*1000</f>
        <v>9.4347785644599913</v>
      </c>
    </row>
    <row r="46" spans="2:7" ht="20.100000000000001" customHeight="1" thickBot="1" x14ac:dyDescent="0.25">
      <c r="B46" s="9" t="s">
        <v>65</v>
      </c>
      <c r="C46" s="14">
        <f>[1150]NºAsuntos!$E$36/Población!$C$46*1000</f>
        <v>157.28528143064216</v>
      </c>
      <c r="D46" s="14">
        <f>[1150]NºAsuntos!$E$17/Población!$C$46*1000</f>
        <v>16.032945634899843</v>
      </c>
      <c r="E46" s="14">
        <f>[1150]NºAsuntos!$E$28/Población!$C$46*1000</f>
        <v>132.41778872181763</v>
      </c>
      <c r="F46" s="14">
        <f>[1150]NºAsuntos!$E$31/Población!$C$46*1000</f>
        <v>1.5379141125722569</v>
      </c>
      <c r="G46" s="14">
        <f>[1150]NºAsuntos!$E$35/Población!$C$46*1000</f>
        <v>7.2966329613524037</v>
      </c>
    </row>
    <row r="47" spans="2:7" ht="20.100000000000001" customHeight="1" thickBot="1" x14ac:dyDescent="0.25">
      <c r="B47" s="9" t="s">
        <v>30</v>
      </c>
      <c r="C47" s="14">
        <f>[1151]NºAsuntos!$E$36/Población!$C$47*1000</f>
        <v>105.25517751479289</v>
      </c>
      <c r="D47" s="14">
        <f>[1151]NºAsuntos!$E$17/Población!$C$47*1000</f>
        <v>20.625</v>
      </c>
      <c r="E47" s="14">
        <f>[1151]NºAsuntos!$E$28/Población!$C$47*1000</f>
        <v>77.529585798816569</v>
      </c>
      <c r="F47" s="14">
        <f>[1151]NºAsuntos!$E$31/Población!$C$47*1000</f>
        <v>1.8823964497041419</v>
      </c>
      <c r="G47" s="14">
        <f>[1151]NºAsuntos!$E$35/Población!$C$47*1000</f>
        <v>5.2181952662721889</v>
      </c>
    </row>
    <row r="48" spans="2:7" ht="20.100000000000001" customHeight="1" thickBot="1" x14ac:dyDescent="0.25">
      <c r="B48" s="9" t="s">
        <v>66</v>
      </c>
      <c r="C48" s="14">
        <f>[1152]NºAsuntos!$E$36/Población!$C$48*1000</f>
        <v>106.92757753227359</v>
      </c>
      <c r="D48" s="14">
        <f>[1152]NºAsuntos!$E$17/Población!$C$48*1000</f>
        <v>20.970334857185282</v>
      </c>
      <c r="E48" s="14">
        <f>[1152]NºAsuntos!$E$28/Población!$C$48*1000</f>
        <v>80.04077565111119</v>
      </c>
      <c r="F48" s="14">
        <f>[1152]NºAsuntos!$E$31/Población!$C$48*1000</f>
        <v>1.5790570773452424</v>
      </c>
      <c r="G48" s="14">
        <f>[1152]NºAsuntos!$E$35/Población!$C$48*1000</f>
        <v>4.337409946631869</v>
      </c>
    </row>
    <row r="49" spans="2:7" ht="20.100000000000001" customHeight="1" thickBot="1" x14ac:dyDescent="0.25">
      <c r="B49" s="9" t="s">
        <v>67</v>
      </c>
      <c r="C49" s="14">
        <f>[1153]NºAsuntos!$E$36/Población!$C$49*1000</f>
        <v>179.83025368577324</v>
      </c>
      <c r="D49" s="14">
        <f>[1153]NºAsuntos!$E$17/Población!$C$49*1000</f>
        <v>25.851766089952473</v>
      </c>
      <c r="E49" s="14">
        <f>[1153]NºAsuntos!$E$28/Población!$C$49*1000</f>
        <v>146.35367550256302</v>
      </c>
      <c r="F49" s="14">
        <f>[1153]NºAsuntos!$E$31/Población!$C$49*1000</f>
        <v>1.5779497857162865</v>
      </c>
      <c r="G49" s="14">
        <f>[1153]NºAsuntos!$E$35/Población!$C$49*1000</f>
        <v>6.0468623075414794</v>
      </c>
    </row>
    <row r="50" spans="2:7" ht="20.100000000000001" customHeight="1" thickBot="1" x14ac:dyDescent="0.25">
      <c r="B50" s="9" t="s">
        <v>68</v>
      </c>
      <c r="C50" s="14">
        <f>[1154]NºAsuntos!$E$36/Población!$C$50*1000</f>
        <v>100.49106292678945</v>
      </c>
      <c r="D50" s="14">
        <f>[1154]NºAsuntos!$E$17/Población!$C$50*1000</f>
        <v>20.016595478412277</v>
      </c>
      <c r="E50" s="14">
        <f>[1154]NºAsuntos!$E$28/Población!$C$50*1000</f>
        <v>72.714040862964879</v>
      </c>
      <c r="F50" s="14">
        <f>[1154]NºAsuntos!$E$31/Población!$C$50*1000</f>
        <v>2.7681802105721358</v>
      </c>
      <c r="G50" s="14">
        <f>[1154]NºAsuntos!$E$35/Población!$C$50*1000</f>
        <v>4.9922463748401666</v>
      </c>
    </row>
    <row r="51" spans="2:7" ht="20.100000000000001" customHeight="1" thickBot="1" x14ac:dyDescent="0.25">
      <c r="B51" s="9" t="s">
        <v>69</v>
      </c>
      <c r="C51" s="14">
        <f>[1155]NºAsuntos!$E$36/Población!$C$51*1000</f>
        <v>190.77897336734114</v>
      </c>
      <c r="D51" s="14">
        <f>[1155]NºAsuntos!$E$17/Población!$C$51*1000</f>
        <v>9.6380936466524467</v>
      </c>
      <c r="E51" s="14">
        <f>[1155]NºAsuntos!$E$28/Población!$C$51*1000</f>
        <v>172.92200423361933</v>
      </c>
      <c r="F51" s="14">
        <f>[1155]NºAsuntos!$E$31/Población!$C$51*1000</f>
        <v>3.0009596890538792</v>
      </c>
      <c r="G51" s="14">
        <f>[1155]NºAsuntos!$E$35/Población!$C$51*1000</f>
        <v>5.2179157980154987</v>
      </c>
    </row>
    <row r="52" spans="2:7" ht="20.100000000000001" customHeight="1" thickBot="1" x14ac:dyDescent="0.25">
      <c r="B52" s="9" t="s">
        <v>70</v>
      </c>
      <c r="C52" s="14">
        <f>[1156]NºAsuntos!$E$36/Población!$C$52*1000</f>
        <v>108.58137853998291</v>
      </c>
      <c r="D52" s="14">
        <f>[1156]NºAsuntos!$E$17/Población!$C$52*1000</f>
        <v>20.226909345773926</v>
      </c>
      <c r="E52" s="14">
        <f>[1156]NºAsuntos!$E$28/Población!$C$52*1000</f>
        <v>83.415467507720606</v>
      </c>
      <c r="F52" s="14">
        <f>[1156]NºAsuntos!$E$31/Población!$C$52*1000</f>
        <v>1.796000613268502</v>
      </c>
      <c r="G52" s="14">
        <f>[1156]NºAsuntos!$E$35/Población!$C$52*1000</f>
        <v>3.143001073219879</v>
      </c>
    </row>
    <row r="53" spans="2:7" ht="20.100000000000001" customHeight="1" thickBot="1" x14ac:dyDescent="0.25">
      <c r="B53" s="9" t="s">
        <v>71</v>
      </c>
      <c r="C53" s="14">
        <f>[1157]NºAsuntos!$E$36/Población!$C$53*1000</f>
        <v>266.5622151135625</v>
      </c>
      <c r="D53" s="14">
        <f>[1157]NºAsuntos!$E$17/Población!$C$53*1000</f>
        <v>26.839365710047282</v>
      </c>
      <c r="E53" s="14">
        <f>[1157]NºAsuntos!$E$28/Población!$C$53*1000</f>
        <v>235.17937021921756</v>
      </c>
      <c r="F53" s="14">
        <f>[1157]NºAsuntos!$E$31/Población!$C$53*1000</f>
        <v>1.1485314155200412</v>
      </c>
      <c r="G53" s="14">
        <f>[1157]NºAsuntos!$E$35/Población!$C$53*1000</f>
        <v>3.3949477687775897</v>
      </c>
    </row>
    <row r="54" spans="2:7" ht="20.100000000000001" customHeight="1" thickBot="1" x14ac:dyDescent="0.25">
      <c r="B54" s="9" t="s">
        <v>72</v>
      </c>
      <c r="C54" s="14">
        <f>[1158]NºAsuntos!$E$36/Población!$C$54*1000</f>
        <v>76.449905676304567</v>
      </c>
      <c r="D54" s="14">
        <f>[1158]NºAsuntos!$E$17/Población!$C$54*1000</f>
        <v>11.04724993210162</v>
      </c>
      <c r="E54" s="14">
        <f>[1158]NºAsuntos!$E$28/Población!$C$54*1000</f>
        <v>61.14524381023687</v>
      </c>
      <c r="F54" s="14">
        <f>[1158]NºAsuntos!$E$31/Población!$C$54*1000</f>
        <v>1.1597777337355855</v>
      </c>
      <c r="G54" s="14">
        <f>[1158]NºAsuntos!$E$35/Población!$C$54*1000</f>
        <v>3.0976342002304871</v>
      </c>
    </row>
    <row r="55" spans="2:7" ht="20.100000000000001" customHeight="1" thickBot="1" x14ac:dyDescent="0.25">
      <c r="B55" s="9" t="s">
        <v>73</v>
      </c>
      <c r="C55" s="14">
        <f>[1159]NºAsuntos!$E$36/Población!$C$55*1000</f>
        <v>93.329801858127965</v>
      </c>
      <c r="D55" s="14">
        <f>[1159]NºAsuntos!$E$17/Población!$C$55*1000</f>
        <v>16.44187707854983</v>
      </c>
      <c r="E55" s="14">
        <f>[1159]NºAsuntos!$E$28/Población!$C$55*1000</f>
        <v>71.010629864715895</v>
      </c>
      <c r="F55" s="14">
        <f>[1159]NºAsuntos!$E$31/Población!$C$55*1000</f>
        <v>2.0629286499008641</v>
      </c>
      <c r="G55" s="14">
        <f>[1159]NºAsuntos!$E$35/Población!$C$55*1000</f>
        <v>3.8143662649613619</v>
      </c>
    </row>
    <row r="56" spans="2:7" ht="20.100000000000001" customHeight="1" thickBot="1" x14ac:dyDescent="0.25">
      <c r="B56" s="9" t="s">
        <v>74</v>
      </c>
      <c r="C56" s="14">
        <f>[1160]NºAsuntos!$E$36/Población!$C$56*1000</f>
        <v>182.6443423717094</v>
      </c>
      <c r="D56" s="14">
        <f>[1160]NºAsuntos!$E$17/Población!$C$56*1000</f>
        <v>15.430793338631538</v>
      </c>
      <c r="E56" s="14">
        <f>[1160]NºAsuntos!$E$28/Población!$C$56*1000</f>
        <v>157.81282973459594</v>
      </c>
      <c r="F56" s="14">
        <f>[1160]NºAsuntos!$E$31/Población!$C$56*1000</f>
        <v>1.8979242716092621</v>
      </c>
      <c r="G56" s="14">
        <f>[1160]NºAsuntos!$E$35/Población!$C$56*1000</f>
        <v>7.5027950268726675</v>
      </c>
    </row>
    <row r="57" spans="2:7" ht="20.100000000000001" customHeight="1" thickBot="1" x14ac:dyDescent="0.25">
      <c r="B57" s="9" t="s">
        <v>75</v>
      </c>
      <c r="C57" s="14">
        <f>[1161]NºAsuntos!$E$36/Población!$C$57*1000</f>
        <v>101.11434429603925</v>
      </c>
      <c r="D57" s="14">
        <f>[1161]NºAsuntos!$E$17/Población!$C$57*1000</f>
        <v>7.9142744110482548</v>
      </c>
      <c r="E57" s="14">
        <f>[1161]NºAsuntos!$E$28/Población!$C$57*1000</f>
        <v>85.510712686334884</v>
      </c>
      <c r="F57" s="14">
        <f>[1161]NºAsuntos!$E$31/Población!$C$57*1000</f>
        <v>2.0764678358345332</v>
      </c>
      <c r="G57" s="14">
        <f>[1161]NºAsuntos!$E$35/Población!$C$57*1000</f>
        <v>5.6128893628215861</v>
      </c>
    </row>
    <row r="58" spans="2:7" ht="20.100000000000001" customHeight="1" thickBot="1" x14ac:dyDescent="0.25">
      <c r="B58" s="9" t="s">
        <v>76</v>
      </c>
      <c r="C58" s="14">
        <f>[1162]NºAsuntos!$E$36/Población!$C$58*1000</f>
        <v>89.401846251161317</v>
      </c>
      <c r="D58" s="14">
        <f>[1162]NºAsuntos!$E$17/Población!$C$58*1000</f>
        <v>17.988100179881002</v>
      </c>
      <c r="E58" s="14">
        <f>[1162]NºAsuntos!$E$28/Población!$C$58*1000</f>
        <v>66.126035304117494</v>
      </c>
      <c r="F58" s="14">
        <f>[1162]NºAsuntos!$E$31/Población!$C$58*1000</f>
        <v>1.6060803732036608</v>
      </c>
      <c r="G58" s="14">
        <f>[1162]NºAsuntos!$E$35/Población!$C$58*1000</f>
        <v>3.6816303939591615</v>
      </c>
    </row>
    <row r="59" spans="2:7" ht="20.100000000000001" customHeight="1" thickBot="1" x14ac:dyDescent="0.25">
      <c r="B59" s="9" t="s">
        <v>77</v>
      </c>
      <c r="C59" s="14">
        <f>[1163]NºAsuntos!$E$36/Población!$C$59*1000</f>
        <v>115.00702570650621</v>
      </c>
      <c r="D59" s="14">
        <f>[1163]NºAsuntos!$E$17/Población!$C$59*1000</f>
        <v>7.3032364893623223</v>
      </c>
      <c r="E59" s="14">
        <f>[1163]NºAsuntos!$E$28/Población!$C$59*1000</f>
        <v>100.59878843003155</v>
      </c>
      <c r="F59" s="14">
        <f>[1163]NºAsuntos!$E$31/Población!$C$59*1000</f>
        <v>1.2547153860057254</v>
      </c>
      <c r="G59" s="14">
        <f>[1163]NºAsuntos!$E$35/Población!$C$59*1000</f>
        <v>5.8502854011066221</v>
      </c>
    </row>
    <row r="60" spans="2:7" ht="20.100000000000001" customHeight="1" thickBot="1" x14ac:dyDescent="0.25">
      <c r="B60" s="9" t="s">
        <v>78</v>
      </c>
      <c r="C60" s="14">
        <f>[1164]NºAsuntos!$E$61/Población!$C$60*1000</f>
        <v>250.77284857452375</v>
      </c>
      <c r="D60" s="14">
        <f>[1164]NºAsuntos!$E$21/Población!$C$60*1000</f>
        <v>28.232092371918515</v>
      </c>
      <c r="E60" s="14">
        <f>[1164]NºAsuntos!$E$40/Población!$C$60*1000</f>
        <v>208.99939229000978</v>
      </c>
      <c r="F60" s="14">
        <f>[1164]NºAsuntos!$E$47/Población!$C$60*1000</f>
        <v>3.553782334134806</v>
      </c>
      <c r="G60" s="14">
        <f>[1164]NºAsuntos!$E$54/Población!$C$60*1000</f>
        <v>9.9875815784606452</v>
      </c>
    </row>
    <row r="61" spans="2:7" ht="20.100000000000001" customHeight="1" thickBot="1" x14ac:dyDescent="0.25">
      <c r="B61" s="9" t="s">
        <v>79</v>
      </c>
      <c r="C61" s="14">
        <f>[1165]NºAsuntos!$E$61/Población!$C$61*1000</f>
        <v>249.24043088284463</v>
      </c>
      <c r="D61" s="14">
        <f>[1165]NºAsuntos!$E$21/Población!$C$61*1000</f>
        <v>25.207518643969241</v>
      </c>
      <c r="E61" s="14">
        <f>[1165]NºAsuntos!$E$40/Población!$C$61*1000</f>
        <v>208.04198345665731</v>
      </c>
      <c r="F61" s="14">
        <f>[1165]NºAsuntos!$E$47/Población!$C$61*1000</f>
        <v>8.1408364709473897</v>
      </c>
      <c r="G61" s="14">
        <f>[1165]NºAsuntos!$E$54/Población!$C$61*1000</f>
        <v>7.8500923112706982</v>
      </c>
    </row>
    <row r="62" spans="2:7" ht="20.100000000000001" customHeight="1" thickBot="1" x14ac:dyDescent="0.25">
      <c r="B62" s="12" t="s">
        <v>6</v>
      </c>
      <c r="C62" s="15">
        <f>[1166]NºAsuntos!$E$60/Población!$S$62*1000</f>
        <v>146.06638579483541</v>
      </c>
      <c r="D62" s="15">
        <f>[1166]NºAsuntos!$E$20/Población!$S$62*1000</f>
        <v>19.173805485220218</v>
      </c>
      <c r="E62" s="15">
        <f>[1166]NºAsuntos!$E$39/Población!$S$62*1000</f>
        <v>115.90998239032733</v>
      </c>
      <c r="F62" s="15">
        <f>[1166]NºAsuntos!$E$46/Población!$S$62*1000</f>
        <v>4.030521943895546</v>
      </c>
      <c r="G62" s="15">
        <f>[1166]NºAsuntos!$E$53/Población!$S$62*1000</f>
        <v>6.9438521732266842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8"/>
  <dimension ref="B8:W62"/>
  <sheetViews>
    <sheetView zoomScaleNormal="100" workbookViewId="0"/>
  </sheetViews>
  <sheetFormatPr baseColWidth="10" defaultColWidth="11.42578125" defaultRowHeight="12.75" x14ac:dyDescent="0.2"/>
  <cols>
    <col min="1" max="1" width="11.42578125" style="1"/>
    <col min="2" max="2" width="28.42578125" style="1" bestFit="1" customWidth="1"/>
    <col min="3" max="23" width="15.28515625" style="1" bestFit="1" customWidth="1"/>
    <col min="24" max="16384" width="11.42578125" style="1"/>
  </cols>
  <sheetData>
    <row r="8" spans="2:23" ht="13.5" thickBot="1" x14ac:dyDescent="0.25"/>
    <row r="9" spans="2:23" ht="20.100000000000001" customHeight="1" thickBot="1" x14ac:dyDescent="0.25">
      <c r="B9" s="10"/>
      <c r="C9" s="10">
        <v>2001</v>
      </c>
      <c r="D9" s="10">
        <v>2002</v>
      </c>
      <c r="E9" s="10">
        <v>2003</v>
      </c>
      <c r="F9" s="10">
        <v>2004</v>
      </c>
      <c r="G9" s="10">
        <v>2005</v>
      </c>
      <c r="H9" s="10">
        <v>2006</v>
      </c>
      <c r="I9" s="10">
        <v>2007</v>
      </c>
      <c r="J9" s="10">
        <v>2008</v>
      </c>
      <c r="K9" s="10">
        <v>2009</v>
      </c>
      <c r="L9" s="10">
        <v>2010</v>
      </c>
      <c r="M9" s="10">
        <v>2011</v>
      </c>
      <c r="N9" s="10">
        <v>2012</v>
      </c>
      <c r="O9" s="10">
        <v>2013</v>
      </c>
      <c r="P9" s="10">
        <v>2014</v>
      </c>
      <c r="Q9" s="10">
        <v>2015</v>
      </c>
      <c r="R9" s="10">
        <v>2016</v>
      </c>
      <c r="S9" s="10">
        <v>2017</v>
      </c>
      <c r="T9" s="10">
        <v>2018</v>
      </c>
      <c r="U9" s="10">
        <v>2019</v>
      </c>
      <c r="V9" s="10">
        <v>2020</v>
      </c>
      <c r="W9" s="10">
        <v>2021</v>
      </c>
    </row>
    <row r="10" spans="2:23" ht="20.100000000000001" customHeight="1" thickBot="1" x14ac:dyDescent="0.25">
      <c r="B10" s="9" t="s">
        <v>31</v>
      </c>
      <c r="C10" s="11">
        <v>367283</v>
      </c>
      <c r="D10" s="11">
        <v>371787</v>
      </c>
      <c r="E10" s="11">
        <v>376556</v>
      </c>
      <c r="F10" s="11">
        <v>379448</v>
      </c>
      <c r="G10" s="11">
        <v>384640</v>
      </c>
      <c r="H10" s="11">
        <v>387658</v>
      </c>
      <c r="I10" s="11">
        <v>392110</v>
      </c>
      <c r="J10" s="11">
        <v>397493</v>
      </c>
      <c r="K10" s="11">
        <v>400891</v>
      </c>
      <c r="L10" s="11">
        <v>401682</v>
      </c>
      <c r="M10" s="11">
        <v>402318</v>
      </c>
      <c r="N10" s="11">
        <v>402837</v>
      </c>
      <c r="O10" s="11">
        <v>400007</v>
      </c>
      <c r="P10" s="11">
        <v>396987</v>
      </c>
      <c r="Q10" s="11">
        <v>394580</v>
      </c>
      <c r="R10" s="11">
        <v>392118</v>
      </c>
      <c r="S10" s="11">
        <v>390032</v>
      </c>
      <c r="T10" s="11">
        <f>'Poblacion INE'!B3</f>
        <v>388786</v>
      </c>
      <c r="U10" s="11">
        <v>388167</v>
      </c>
      <c r="V10" s="11">
        <v>388270</v>
      </c>
      <c r="W10" s="11">
        <v>386464</v>
      </c>
    </row>
    <row r="11" spans="2:23" ht="20.100000000000001" customHeight="1" thickBot="1" x14ac:dyDescent="0.25">
      <c r="B11" s="9" t="s">
        <v>32</v>
      </c>
      <c r="C11" s="11">
        <v>1490265</v>
      </c>
      <c r="D11" s="11">
        <v>1557968</v>
      </c>
      <c r="E11" s="11">
        <v>1632349</v>
      </c>
      <c r="F11" s="11">
        <v>1657040</v>
      </c>
      <c r="G11" s="11">
        <v>1732389</v>
      </c>
      <c r="H11" s="11">
        <v>1783555</v>
      </c>
      <c r="I11" s="11">
        <v>1825264</v>
      </c>
      <c r="J11" s="11">
        <v>1891477</v>
      </c>
      <c r="K11" s="11">
        <v>1917012</v>
      </c>
      <c r="L11" s="11">
        <v>1926285</v>
      </c>
      <c r="M11" s="11">
        <v>1934127</v>
      </c>
      <c r="N11" s="11">
        <v>1943910</v>
      </c>
      <c r="O11" s="11">
        <v>1945642</v>
      </c>
      <c r="P11" s="11">
        <v>1868438</v>
      </c>
      <c r="Q11" s="11">
        <v>1855047</v>
      </c>
      <c r="R11" s="11">
        <v>1836459</v>
      </c>
      <c r="S11" s="11">
        <v>1825332</v>
      </c>
      <c r="T11" s="11">
        <f>'Poblacion INE'!B4</f>
        <v>1838819</v>
      </c>
      <c r="U11" s="11">
        <v>1858683</v>
      </c>
      <c r="V11" s="11">
        <v>1879888</v>
      </c>
      <c r="W11" s="11">
        <v>1881762</v>
      </c>
    </row>
    <row r="12" spans="2:23" ht="20.100000000000001" customHeight="1" thickBot="1" x14ac:dyDescent="0.25">
      <c r="B12" s="9" t="s">
        <v>33</v>
      </c>
      <c r="C12" s="11">
        <v>533168</v>
      </c>
      <c r="D12" s="11">
        <v>546498</v>
      </c>
      <c r="E12" s="11">
        <v>565310</v>
      </c>
      <c r="F12" s="11">
        <v>580077</v>
      </c>
      <c r="G12" s="11">
        <v>612315</v>
      </c>
      <c r="H12" s="11">
        <v>635850</v>
      </c>
      <c r="I12" s="11">
        <v>646633</v>
      </c>
      <c r="J12" s="11">
        <v>667635</v>
      </c>
      <c r="K12" s="11">
        <v>684426</v>
      </c>
      <c r="L12" s="11">
        <v>695560</v>
      </c>
      <c r="M12" s="11">
        <v>702819</v>
      </c>
      <c r="N12" s="11">
        <v>704219</v>
      </c>
      <c r="O12" s="11">
        <v>699329</v>
      </c>
      <c r="P12" s="11">
        <v>701688</v>
      </c>
      <c r="Q12" s="11">
        <v>701211</v>
      </c>
      <c r="R12" s="11">
        <v>704297</v>
      </c>
      <c r="S12" s="11">
        <v>706672</v>
      </c>
      <c r="T12" s="11">
        <f>'Poblacion INE'!B5</f>
        <v>709340</v>
      </c>
      <c r="U12" s="11">
        <v>716820</v>
      </c>
      <c r="V12" s="11">
        <v>727945</v>
      </c>
      <c r="W12" s="11">
        <v>731792</v>
      </c>
    </row>
    <row r="13" spans="2:23" ht="20.100000000000001" customHeight="1" thickBot="1" x14ac:dyDescent="0.25">
      <c r="B13" s="9" t="s">
        <v>34</v>
      </c>
      <c r="C13" s="11">
        <v>288793</v>
      </c>
      <c r="D13" s="11">
        <v>291860</v>
      </c>
      <c r="E13" s="11">
        <v>294360</v>
      </c>
      <c r="F13" s="11">
        <v>295905</v>
      </c>
      <c r="G13" s="11">
        <v>299957</v>
      </c>
      <c r="H13" s="11">
        <v>301926</v>
      </c>
      <c r="I13" s="11">
        <v>305459</v>
      </c>
      <c r="J13" s="11">
        <v>309635</v>
      </c>
      <c r="K13" s="11">
        <v>313819</v>
      </c>
      <c r="L13" s="11">
        <v>317352</v>
      </c>
      <c r="M13" s="11">
        <v>319227</v>
      </c>
      <c r="N13" s="11">
        <v>322557</v>
      </c>
      <c r="O13" s="11">
        <v>321417</v>
      </c>
      <c r="P13" s="11">
        <v>321932</v>
      </c>
      <c r="Q13" s="11">
        <v>323648</v>
      </c>
      <c r="R13" s="11">
        <v>324126</v>
      </c>
      <c r="S13" s="11">
        <v>326574</v>
      </c>
      <c r="T13" s="11">
        <f>'Poblacion INE'!B2</f>
        <v>328868</v>
      </c>
      <c r="U13" s="11">
        <v>331549</v>
      </c>
      <c r="V13" s="11">
        <v>333940</v>
      </c>
      <c r="W13" s="11">
        <v>333626</v>
      </c>
    </row>
    <row r="14" spans="2:23" ht="20.100000000000001" customHeight="1" thickBot="1" x14ac:dyDescent="0.25">
      <c r="B14" s="9" t="s">
        <v>35</v>
      </c>
      <c r="C14" s="11">
        <v>1075329</v>
      </c>
      <c r="D14" s="11">
        <v>1073971</v>
      </c>
      <c r="E14" s="11">
        <v>1075381</v>
      </c>
      <c r="F14" s="11">
        <v>1073761</v>
      </c>
      <c r="G14" s="11">
        <v>1076635</v>
      </c>
      <c r="H14" s="11">
        <v>1076896</v>
      </c>
      <c r="I14" s="11">
        <v>1074862</v>
      </c>
      <c r="J14" s="11">
        <v>1080138</v>
      </c>
      <c r="K14" s="11">
        <v>1085289</v>
      </c>
      <c r="L14" s="11">
        <v>1084341</v>
      </c>
      <c r="M14" s="11">
        <v>1081487</v>
      </c>
      <c r="N14" s="11">
        <v>1077360</v>
      </c>
      <c r="O14" s="11">
        <v>1068165</v>
      </c>
      <c r="P14" s="11">
        <v>1061756</v>
      </c>
      <c r="Q14" s="11">
        <v>1051229</v>
      </c>
      <c r="R14" s="11">
        <v>1042608</v>
      </c>
      <c r="S14" s="11">
        <v>1034960</v>
      </c>
      <c r="T14" s="11">
        <f>'Poblacion INE'!B34</f>
        <v>1028244</v>
      </c>
      <c r="U14" s="11">
        <v>1022800</v>
      </c>
      <c r="V14" s="11">
        <v>1018784</v>
      </c>
      <c r="W14" s="11">
        <v>1011792</v>
      </c>
    </row>
    <row r="15" spans="2:23" ht="20.100000000000001" customHeight="1" thickBot="1" x14ac:dyDescent="0.25">
      <c r="B15" s="9" t="s">
        <v>36</v>
      </c>
      <c r="C15" s="11">
        <v>163885</v>
      </c>
      <c r="D15" s="11">
        <v>165138</v>
      </c>
      <c r="E15" s="11">
        <v>165480</v>
      </c>
      <c r="F15" s="11">
        <v>166108</v>
      </c>
      <c r="G15" s="11">
        <v>167032</v>
      </c>
      <c r="H15" s="11">
        <v>167818</v>
      </c>
      <c r="I15" s="11">
        <v>168638</v>
      </c>
      <c r="J15" s="11">
        <v>171815</v>
      </c>
      <c r="K15" s="11">
        <v>171680</v>
      </c>
      <c r="L15" s="11">
        <v>171896</v>
      </c>
      <c r="M15" s="11">
        <v>172704</v>
      </c>
      <c r="N15" s="11">
        <v>171265</v>
      </c>
      <c r="O15" s="11">
        <v>168825</v>
      </c>
      <c r="P15" s="11">
        <v>167015</v>
      </c>
      <c r="Q15" s="11">
        <v>164925</v>
      </c>
      <c r="R15" s="11">
        <v>162514</v>
      </c>
      <c r="S15" s="11">
        <v>160700</v>
      </c>
      <c r="T15" s="11">
        <f>'Poblacion INE'!B6</f>
        <v>158498</v>
      </c>
      <c r="U15" s="11">
        <v>157640</v>
      </c>
      <c r="V15" s="11">
        <v>157664</v>
      </c>
      <c r="W15" s="11">
        <v>158421</v>
      </c>
    </row>
    <row r="16" spans="2:23" ht="20.100000000000001" customHeight="1" thickBot="1" x14ac:dyDescent="0.25">
      <c r="B16" s="9" t="s">
        <v>37</v>
      </c>
      <c r="C16" s="11">
        <v>664251</v>
      </c>
      <c r="D16" s="11">
        <v>662808</v>
      </c>
      <c r="E16" s="11">
        <v>663142</v>
      </c>
      <c r="F16" s="11">
        <v>663896</v>
      </c>
      <c r="G16" s="11">
        <v>671299</v>
      </c>
      <c r="H16" s="11">
        <v>673474</v>
      </c>
      <c r="I16" s="11">
        <v>678459</v>
      </c>
      <c r="J16" s="11">
        <v>685246</v>
      </c>
      <c r="K16" s="11">
        <v>688777</v>
      </c>
      <c r="L16" s="11">
        <v>692137</v>
      </c>
      <c r="M16" s="11">
        <v>693921</v>
      </c>
      <c r="N16" s="11">
        <v>694533</v>
      </c>
      <c r="O16" s="11">
        <v>693729</v>
      </c>
      <c r="P16" s="11">
        <v>690929</v>
      </c>
      <c r="Q16" s="11">
        <v>686730</v>
      </c>
      <c r="R16" s="11">
        <v>684113</v>
      </c>
      <c r="S16" s="11">
        <v>679884</v>
      </c>
      <c r="T16" s="11">
        <f>'Poblacion INE'!B7</f>
        <v>676376</v>
      </c>
      <c r="U16" s="11">
        <v>673559</v>
      </c>
      <c r="V16" s="11">
        <v>672137</v>
      </c>
      <c r="W16" s="11">
        <v>669943</v>
      </c>
    </row>
    <row r="17" spans="2:23" ht="20.100000000000001" customHeight="1" thickBot="1" x14ac:dyDescent="0.25">
      <c r="B17" s="9" t="s">
        <v>29</v>
      </c>
      <c r="C17" s="11">
        <v>878627</v>
      </c>
      <c r="D17" s="11">
        <v>916968</v>
      </c>
      <c r="E17" s="11">
        <v>947361</v>
      </c>
      <c r="F17" s="11">
        <v>955045</v>
      </c>
      <c r="G17" s="11">
        <v>983131</v>
      </c>
      <c r="H17" s="11">
        <v>1001062</v>
      </c>
      <c r="I17" s="11">
        <v>1030650</v>
      </c>
      <c r="J17" s="11">
        <v>1072844</v>
      </c>
      <c r="K17" s="11">
        <v>1095426</v>
      </c>
      <c r="L17" s="11">
        <v>1106049</v>
      </c>
      <c r="M17" s="11">
        <v>1113114</v>
      </c>
      <c r="N17" s="11">
        <v>1119439</v>
      </c>
      <c r="O17" s="11">
        <v>1111674</v>
      </c>
      <c r="P17" s="11">
        <v>1103442</v>
      </c>
      <c r="Q17" s="11">
        <v>1104479</v>
      </c>
      <c r="R17" s="11">
        <v>1107220</v>
      </c>
      <c r="S17" s="11">
        <v>1115999</v>
      </c>
      <c r="T17" s="11">
        <f>'Poblacion INE'!B8</f>
        <v>1128908</v>
      </c>
      <c r="U17" s="11">
        <v>1149460</v>
      </c>
      <c r="V17" s="11">
        <v>1171543</v>
      </c>
      <c r="W17" s="11">
        <v>1173008</v>
      </c>
    </row>
    <row r="18" spans="2:23" ht="20.100000000000001" customHeight="1" thickBot="1" x14ac:dyDescent="0.25">
      <c r="B18" s="9" t="s">
        <v>38</v>
      </c>
      <c r="C18" s="11">
        <v>4804606</v>
      </c>
      <c r="D18" s="11">
        <v>4906117</v>
      </c>
      <c r="E18" s="11">
        <v>5052666</v>
      </c>
      <c r="F18" s="11">
        <v>5117885</v>
      </c>
      <c r="G18" s="11">
        <v>5226354</v>
      </c>
      <c r="H18" s="11">
        <v>5309404</v>
      </c>
      <c r="I18" s="11">
        <v>5332513</v>
      </c>
      <c r="J18" s="11">
        <v>5416447</v>
      </c>
      <c r="K18" s="11">
        <v>5487935</v>
      </c>
      <c r="L18" s="11">
        <v>5511147</v>
      </c>
      <c r="M18" s="11">
        <v>5529099</v>
      </c>
      <c r="N18" s="11">
        <v>5552050</v>
      </c>
      <c r="O18" s="11">
        <v>5540925</v>
      </c>
      <c r="P18" s="11">
        <v>5523784</v>
      </c>
      <c r="Q18" s="11">
        <v>5523922</v>
      </c>
      <c r="R18" s="11">
        <v>5542680</v>
      </c>
      <c r="S18" s="11">
        <v>5576037</v>
      </c>
      <c r="T18" s="11">
        <f>'Poblacion INE'!B9</f>
        <v>5609350</v>
      </c>
      <c r="U18" s="11">
        <v>5664579</v>
      </c>
      <c r="V18" s="11">
        <v>5743402</v>
      </c>
      <c r="W18" s="11">
        <v>5714730</v>
      </c>
    </row>
    <row r="19" spans="2:23" ht="20.100000000000001" customHeight="1" thickBot="1" x14ac:dyDescent="0.25">
      <c r="B19" s="9" t="s">
        <v>39</v>
      </c>
      <c r="C19" s="11">
        <v>1132616</v>
      </c>
      <c r="D19" s="11">
        <v>1133444</v>
      </c>
      <c r="E19" s="11">
        <v>1133428</v>
      </c>
      <c r="F19" s="11">
        <v>1132861</v>
      </c>
      <c r="G19" s="11">
        <v>1136181</v>
      </c>
      <c r="H19" s="11">
        <v>1139863</v>
      </c>
      <c r="I19" s="11">
        <v>1141457</v>
      </c>
      <c r="J19" s="11">
        <v>1146421</v>
      </c>
      <c r="K19" s="11">
        <v>1152658</v>
      </c>
      <c r="L19" s="11">
        <v>1153724</v>
      </c>
      <c r="M19" s="11">
        <v>1155772</v>
      </c>
      <c r="N19" s="11">
        <v>1158439</v>
      </c>
      <c r="O19" s="11">
        <v>1156447</v>
      </c>
      <c r="P19" s="11">
        <v>1151905</v>
      </c>
      <c r="Q19" s="11">
        <v>1148775</v>
      </c>
      <c r="R19" s="11">
        <v>1147576</v>
      </c>
      <c r="S19" s="11">
        <v>1148302</v>
      </c>
      <c r="T19" s="11">
        <f>'Poblacion INE'!B49</f>
        <v>1149628</v>
      </c>
      <c r="U19" s="11">
        <v>1152651</v>
      </c>
      <c r="V19" s="11">
        <v>1159443</v>
      </c>
      <c r="W19" s="11">
        <v>1154334</v>
      </c>
    </row>
    <row r="20" spans="2:23" ht="20.100000000000001" customHeight="1" thickBot="1" x14ac:dyDescent="0.25">
      <c r="B20" s="9" t="s">
        <v>40</v>
      </c>
      <c r="C20" s="11">
        <v>349810</v>
      </c>
      <c r="D20" s="11">
        <v>352723</v>
      </c>
      <c r="E20" s="11">
        <v>355205</v>
      </c>
      <c r="F20" s="11">
        <v>356437</v>
      </c>
      <c r="G20" s="11">
        <v>361021</v>
      </c>
      <c r="H20" s="11">
        <v>363874</v>
      </c>
      <c r="I20" s="11">
        <v>365972</v>
      </c>
      <c r="J20" s="11">
        <v>373672</v>
      </c>
      <c r="K20" s="11">
        <v>375563</v>
      </c>
      <c r="L20" s="11">
        <v>374826</v>
      </c>
      <c r="M20" s="11">
        <v>375657</v>
      </c>
      <c r="N20" s="11">
        <v>374970</v>
      </c>
      <c r="O20" s="11">
        <v>371248</v>
      </c>
      <c r="P20" s="11">
        <v>366900</v>
      </c>
      <c r="Q20" s="11">
        <v>364002</v>
      </c>
      <c r="R20" s="11">
        <v>360995</v>
      </c>
      <c r="S20" s="11">
        <v>358171</v>
      </c>
      <c r="T20" s="11">
        <f>'Poblacion INE'!B10</f>
        <v>357070</v>
      </c>
      <c r="U20" s="11">
        <v>356958</v>
      </c>
      <c r="V20" s="11">
        <v>357650</v>
      </c>
      <c r="W20" s="11">
        <v>356055</v>
      </c>
    </row>
    <row r="21" spans="2:23" ht="20.100000000000001" customHeight="1" thickBot="1" x14ac:dyDescent="0.25">
      <c r="B21" s="9" t="s">
        <v>41</v>
      </c>
      <c r="C21" s="11">
        <v>409130</v>
      </c>
      <c r="D21" s="11">
        <v>410242</v>
      </c>
      <c r="E21" s="11">
        <v>410762</v>
      </c>
      <c r="F21" s="11">
        <v>411390</v>
      </c>
      <c r="G21" s="11">
        <v>412580</v>
      </c>
      <c r="H21" s="11">
        <v>412899</v>
      </c>
      <c r="I21" s="11">
        <v>411531</v>
      </c>
      <c r="J21" s="11">
        <v>412498</v>
      </c>
      <c r="K21" s="11">
        <v>413633</v>
      </c>
      <c r="L21" s="11">
        <v>415083</v>
      </c>
      <c r="M21" s="11">
        <v>415446</v>
      </c>
      <c r="N21" s="11">
        <v>413597</v>
      </c>
      <c r="O21" s="11">
        <v>410275</v>
      </c>
      <c r="P21" s="11">
        <v>408703</v>
      </c>
      <c r="Q21" s="11">
        <v>406267</v>
      </c>
      <c r="R21" s="11">
        <v>403665</v>
      </c>
      <c r="S21" s="11">
        <v>400036</v>
      </c>
      <c r="T21" s="11">
        <f>'Poblacion INE'!B11</f>
        <v>396487</v>
      </c>
      <c r="U21" s="11">
        <v>394151</v>
      </c>
      <c r="V21" s="11">
        <v>391850</v>
      </c>
      <c r="W21" s="11">
        <v>389558</v>
      </c>
    </row>
    <row r="22" spans="2:23" ht="20.100000000000001" customHeight="1" thickBot="1" x14ac:dyDescent="0.25">
      <c r="B22" s="9" t="s">
        <v>42</v>
      </c>
      <c r="C22" s="11">
        <v>1131346</v>
      </c>
      <c r="D22" s="11">
        <v>1140793</v>
      </c>
      <c r="E22" s="11">
        <v>1155724</v>
      </c>
      <c r="F22" s="11">
        <v>1164374</v>
      </c>
      <c r="G22" s="11">
        <v>1180817</v>
      </c>
      <c r="H22" s="11">
        <v>1194062</v>
      </c>
      <c r="I22" s="11">
        <v>1207343</v>
      </c>
      <c r="J22" s="11">
        <v>1220467</v>
      </c>
      <c r="K22" s="11">
        <v>1230594</v>
      </c>
      <c r="L22" s="11">
        <v>1236739</v>
      </c>
      <c r="M22" s="11">
        <v>1243519</v>
      </c>
      <c r="N22" s="11">
        <v>1245164</v>
      </c>
      <c r="O22" s="11">
        <v>1238492</v>
      </c>
      <c r="P22" s="11">
        <v>1240175</v>
      </c>
      <c r="Q22" s="11">
        <v>1240284</v>
      </c>
      <c r="R22" s="11">
        <v>1239889</v>
      </c>
      <c r="S22" s="11">
        <v>1239435</v>
      </c>
      <c r="T22" s="11">
        <f>'Poblacion INE'!B12</f>
        <v>1238714</v>
      </c>
      <c r="U22" s="11">
        <v>1240155</v>
      </c>
      <c r="V22" s="11">
        <v>1244049</v>
      </c>
      <c r="W22" s="11">
        <v>1245960</v>
      </c>
    </row>
    <row r="23" spans="2:23" ht="20.100000000000001" customHeight="1" thickBot="1" x14ac:dyDescent="0.25">
      <c r="B23" s="9" t="s">
        <v>5</v>
      </c>
      <c r="C23" s="11">
        <v>537606</v>
      </c>
      <c r="D23" s="11">
        <v>542275</v>
      </c>
      <c r="E23" s="11">
        <v>549690</v>
      </c>
      <c r="F23" s="11">
        <v>554784</v>
      </c>
      <c r="G23" s="11">
        <v>562309</v>
      </c>
      <c r="H23" s="11">
        <v>568091</v>
      </c>
      <c r="I23" s="11">
        <v>572824</v>
      </c>
      <c r="J23" s="11">
        <v>582138</v>
      </c>
      <c r="K23" s="11">
        <v>589235</v>
      </c>
      <c r="L23" s="11">
        <v>592250</v>
      </c>
      <c r="M23" s="11">
        <v>593121</v>
      </c>
      <c r="N23" s="11">
        <v>593861</v>
      </c>
      <c r="O23" s="11">
        <v>591888</v>
      </c>
      <c r="P23" s="11">
        <v>588656</v>
      </c>
      <c r="Q23" s="11">
        <v>585179</v>
      </c>
      <c r="R23" s="11">
        <v>582206</v>
      </c>
      <c r="S23" s="11">
        <v>580295</v>
      </c>
      <c r="T23" s="11">
        <f>'Poblacion INE'!B40</f>
        <v>580229</v>
      </c>
      <c r="U23" s="11">
        <v>581078</v>
      </c>
      <c r="V23" s="11">
        <v>582905</v>
      </c>
      <c r="W23" s="11">
        <v>584507</v>
      </c>
    </row>
    <row r="24" spans="2:23" ht="20.100000000000001" customHeight="1" thickBot="1" x14ac:dyDescent="0.25">
      <c r="B24" s="9" t="s">
        <v>43</v>
      </c>
      <c r="C24" s="11">
        <v>485173</v>
      </c>
      <c r="D24" s="11">
        <v>501237</v>
      </c>
      <c r="E24" s="11">
        <v>518239</v>
      </c>
      <c r="F24" s="11">
        <v>527345</v>
      </c>
      <c r="G24" s="11">
        <v>543432</v>
      </c>
      <c r="H24" s="11">
        <v>559761</v>
      </c>
      <c r="I24" s="11">
        <v>573282</v>
      </c>
      <c r="J24" s="11">
        <v>594915</v>
      </c>
      <c r="K24" s="11">
        <v>602301</v>
      </c>
      <c r="L24" s="11">
        <v>604274</v>
      </c>
      <c r="M24" s="11">
        <v>604344</v>
      </c>
      <c r="N24" s="11">
        <v>604564</v>
      </c>
      <c r="O24" s="11">
        <v>601699</v>
      </c>
      <c r="P24" s="11">
        <v>587508</v>
      </c>
      <c r="Q24" s="11">
        <v>582327</v>
      </c>
      <c r="R24" s="11">
        <v>579245</v>
      </c>
      <c r="S24" s="11">
        <v>575470</v>
      </c>
      <c r="T24" s="11">
        <f>'Poblacion INE'!B13</f>
        <v>576898</v>
      </c>
      <c r="U24" s="11">
        <v>579962</v>
      </c>
      <c r="V24" s="11">
        <v>585590</v>
      </c>
      <c r="W24" s="11">
        <v>587064</v>
      </c>
    </row>
    <row r="25" spans="2:23" ht="20.100000000000001" customHeight="1" thickBot="1" x14ac:dyDescent="0.25">
      <c r="B25" s="9" t="s">
        <v>44</v>
      </c>
      <c r="C25" s="11">
        <v>478581</v>
      </c>
      <c r="D25" s="11">
        <v>484338</v>
      </c>
      <c r="E25" s="11">
        <v>487670</v>
      </c>
      <c r="F25" s="11">
        <v>492914</v>
      </c>
      <c r="G25" s="11">
        <v>500060</v>
      </c>
      <c r="H25" s="11">
        <v>506864</v>
      </c>
      <c r="I25" s="11">
        <v>510122</v>
      </c>
      <c r="J25" s="11">
        <v>522343</v>
      </c>
      <c r="K25" s="11">
        <v>527273</v>
      </c>
      <c r="L25" s="11">
        <v>529453</v>
      </c>
      <c r="M25" s="11">
        <v>530175</v>
      </c>
      <c r="N25" s="11">
        <v>530250</v>
      </c>
      <c r="O25" s="11">
        <v>524962</v>
      </c>
      <c r="P25" s="11">
        <v>519613</v>
      </c>
      <c r="Q25" s="11">
        <v>513713</v>
      </c>
      <c r="R25" s="11">
        <v>506888</v>
      </c>
      <c r="S25" s="11">
        <v>502578</v>
      </c>
      <c r="T25" s="11">
        <f>'Poblacion INE'!B14</f>
        <v>499100</v>
      </c>
      <c r="U25" s="11">
        <v>495761</v>
      </c>
      <c r="V25" s="11">
        <v>495045</v>
      </c>
      <c r="W25" s="11">
        <v>492591</v>
      </c>
    </row>
    <row r="26" spans="2:23" ht="20.100000000000001" customHeight="1" thickBot="1" x14ac:dyDescent="0.25">
      <c r="B26" s="9" t="s">
        <v>45</v>
      </c>
      <c r="C26" s="11">
        <v>769625</v>
      </c>
      <c r="D26" s="11">
        <v>771131</v>
      </c>
      <c r="E26" s="11">
        <v>775944</v>
      </c>
      <c r="F26" s="11">
        <v>779870</v>
      </c>
      <c r="G26" s="11">
        <v>784376</v>
      </c>
      <c r="H26" s="11">
        <v>788287</v>
      </c>
      <c r="I26" s="11">
        <v>792182</v>
      </c>
      <c r="J26" s="11">
        <v>798822</v>
      </c>
      <c r="K26" s="11">
        <v>803998</v>
      </c>
      <c r="L26" s="11">
        <v>805108</v>
      </c>
      <c r="M26" s="11">
        <v>805857</v>
      </c>
      <c r="N26" s="11">
        <v>804498</v>
      </c>
      <c r="O26" s="11">
        <v>802422</v>
      </c>
      <c r="P26" s="11">
        <v>799402</v>
      </c>
      <c r="Q26" s="11">
        <v>795611</v>
      </c>
      <c r="R26" s="11">
        <v>791610</v>
      </c>
      <c r="S26" s="11">
        <v>788219</v>
      </c>
      <c r="T26" s="11">
        <f>'Poblacion INE'!B15</f>
        <v>785240</v>
      </c>
      <c r="U26" s="11">
        <v>782979</v>
      </c>
      <c r="V26" s="11">
        <v>781451</v>
      </c>
      <c r="W26" s="11">
        <v>776789</v>
      </c>
    </row>
    <row r="27" spans="2:23" ht="20.100000000000001" customHeight="1" thickBot="1" x14ac:dyDescent="0.25">
      <c r="B27" s="9" t="s">
        <v>46</v>
      </c>
      <c r="C27" s="11">
        <v>1108002</v>
      </c>
      <c r="D27" s="11">
        <v>1111886</v>
      </c>
      <c r="E27" s="11">
        <v>1120814</v>
      </c>
      <c r="F27" s="11">
        <v>1121344</v>
      </c>
      <c r="G27" s="11">
        <v>1126707</v>
      </c>
      <c r="H27" s="11">
        <v>1129141</v>
      </c>
      <c r="I27" s="11">
        <v>1132792</v>
      </c>
      <c r="J27" s="11">
        <v>1139121</v>
      </c>
      <c r="K27" s="11">
        <v>1145488</v>
      </c>
      <c r="L27" s="11">
        <v>1146458</v>
      </c>
      <c r="M27" s="11">
        <v>1147124</v>
      </c>
      <c r="N27" s="11">
        <v>1143911</v>
      </c>
      <c r="O27" s="11">
        <v>1138161</v>
      </c>
      <c r="P27" s="11">
        <v>1132735</v>
      </c>
      <c r="Q27" s="11">
        <v>1127196</v>
      </c>
      <c r="R27" s="11">
        <v>1122799</v>
      </c>
      <c r="S27" s="11">
        <v>1120294</v>
      </c>
      <c r="T27" s="11">
        <f>'Poblacion INE'!B16</f>
        <v>1119351</v>
      </c>
      <c r="U27" s="11">
        <v>1119596</v>
      </c>
      <c r="V27" s="11">
        <v>1121815</v>
      </c>
      <c r="W27" s="11">
        <v>1120134</v>
      </c>
    </row>
    <row r="28" spans="2:23" ht="20.100000000000001" customHeight="1" thickBot="1" x14ac:dyDescent="0.25">
      <c r="B28" s="9" t="s">
        <v>47</v>
      </c>
      <c r="C28" s="11">
        <v>201526</v>
      </c>
      <c r="D28" s="11">
        <v>201614</v>
      </c>
      <c r="E28" s="11">
        <v>202982</v>
      </c>
      <c r="F28" s="11">
        <v>204546</v>
      </c>
      <c r="G28" s="11">
        <v>207974</v>
      </c>
      <c r="H28" s="11">
        <v>208616</v>
      </c>
      <c r="I28" s="11">
        <v>211375</v>
      </c>
      <c r="J28" s="11">
        <v>215274</v>
      </c>
      <c r="K28" s="11">
        <v>217363</v>
      </c>
      <c r="L28" s="11">
        <v>217716</v>
      </c>
      <c r="M28" s="11">
        <v>219138</v>
      </c>
      <c r="N28" s="11">
        <v>218036</v>
      </c>
      <c r="O28" s="11">
        <v>211899</v>
      </c>
      <c r="P28" s="11">
        <v>207449</v>
      </c>
      <c r="Q28" s="11">
        <v>203841</v>
      </c>
      <c r="R28" s="11">
        <v>201071</v>
      </c>
      <c r="S28" s="11">
        <v>198718</v>
      </c>
      <c r="T28" s="11">
        <f>'Poblacion INE'!B17</f>
        <v>197222</v>
      </c>
      <c r="U28" s="11">
        <v>196329</v>
      </c>
      <c r="V28" s="11">
        <v>196139</v>
      </c>
      <c r="W28" s="11">
        <v>195516</v>
      </c>
    </row>
    <row r="29" spans="2:23" ht="20.100000000000001" customHeight="1" thickBot="1" x14ac:dyDescent="0.25">
      <c r="B29" s="9" t="s">
        <v>48</v>
      </c>
      <c r="C29" s="11">
        <v>680069</v>
      </c>
      <c r="D29" s="11">
        <v>682977</v>
      </c>
      <c r="E29" s="11">
        <v>684416</v>
      </c>
      <c r="F29" s="11">
        <v>686513</v>
      </c>
      <c r="G29" s="11">
        <v>688708</v>
      </c>
      <c r="H29" s="11">
        <v>691895</v>
      </c>
      <c r="I29" s="11">
        <v>694944</v>
      </c>
      <c r="J29" s="11">
        <v>701056</v>
      </c>
      <c r="K29" s="11">
        <v>705698</v>
      </c>
      <c r="L29" s="11">
        <v>707263</v>
      </c>
      <c r="M29" s="11">
        <v>709607</v>
      </c>
      <c r="N29" s="11">
        <v>712097</v>
      </c>
      <c r="O29" s="11">
        <v>713818</v>
      </c>
      <c r="P29" s="11">
        <v>715148</v>
      </c>
      <c r="Q29" s="11">
        <v>716834</v>
      </c>
      <c r="R29" s="11">
        <v>717832</v>
      </c>
      <c r="S29" s="11">
        <v>719282</v>
      </c>
      <c r="T29" s="11">
        <f>'Poblacion INE'!B21</f>
        <v>720592</v>
      </c>
      <c r="U29" s="11">
        <v>723576</v>
      </c>
      <c r="V29" s="11">
        <v>727121</v>
      </c>
      <c r="W29" s="11">
        <v>726033</v>
      </c>
    </row>
    <row r="30" spans="2:23" ht="20.100000000000001" customHeight="1" thickBot="1" x14ac:dyDescent="0.25">
      <c r="B30" s="9" t="s">
        <v>49</v>
      </c>
      <c r="C30" s="11">
        <v>579650</v>
      </c>
      <c r="D30" s="11">
        <v>598112</v>
      </c>
      <c r="E30" s="11">
        <v>619692</v>
      </c>
      <c r="F30" s="11">
        <v>636198</v>
      </c>
      <c r="G30" s="11">
        <v>664506</v>
      </c>
      <c r="H30" s="11">
        <v>687331</v>
      </c>
      <c r="I30" s="11">
        <v>706185</v>
      </c>
      <c r="J30" s="11">
        <v>731864</v>
      </c>
      <c r="K30" s="11">
        <v>747782</v>
      </c>
      <c r="L30" s="11">
        <v>753046</v>
      </c>
      <c r="M30" s="11">
        <v>756810</v>
      </c>
      <c r="N30" s="11">
        <v>761627</v>
      </c>
      <c r="O30" s="11">
        <v>761632</v>
      </c>
      <c r="P30" s="11">
        <v>756156</v>
      </c>
      <c r="Q30" s="11">
        <v>753054</v>
      </c>
      <c r="R30" s="11">
        <v>753576</v>
      </c>
      <c r="S30" s="11">
        <v>755716</v>
      </c>
      <c r="T30" s="11">
        <f>'Poblacion INE'!B18</f>
        <v>761947</v>
      </c>
      <c r="U30" s="11">
        <v>771044</v>
      </c>
      <c r="V30" s="11">
        <v>781788</v>
      </c>
      <c r="W30" s="11">
        <v>786596</v>
      </c>
    </row>
    <row r="31" spans="2:23" ht="20.100000000000001" customHeight="1" thickBot="1" x14ac:dyDescent="0.25">
      <c r="B31" s="9" t="s">
        <v>50</v>
      </c>
      <c r="C31" s="11">
        <v>812637</v>
      </c>
      <c r="D31" s="11">
        <v>818959</v>
      </c>
      <c r="E31" s="11">
        <v>828107</v>
      </c>
      <c r="F31" s="11">
        <v>841687</v>
      </c>
      <c r="G31" s="11">
        <v>860898</v>
      </c>
      <c r="H31" s="11">
        <v>876184</v>
      </c>
      <c r="I31" s="11">
        <v>884099</v>
      </c>
      <c r="J31" s="11">
        <v>901220</v>
      </c>
      <c r="K31" s="11">
        <v>907428</v>
      </c>
      <c r="L31" s="11">
        <v>918072</v>
      </c>
      <c r="M31" s="11">
        <v>924550</v>
      </c>
      <c r="N31" s="11">
        <v>922928</v>
      </c>
      <c r="O31" s="11">
        <v>919319</v>
      </c>
      <c r="P31" s="11">
        <v>919455</v>
      </c>
      <c r="Q31" s="11">
        <v>917297</v>
      </c>
      <c r="R31" s="11">
        <v>915392</v>
      </c>
      <c r="S31" s="11">
        <v>912938</v>
      </c>
      <c r="T31" s="11">
        <f>'Poblacion INE'!B19</f>
        <v>912075</v>
      </c>
      <c r="U31" s="11">
        <v>914678</v>
      </c>
      <c r="V31" s="11">
        <v>919168</v>
      </c>
      <c r="W31" s="11">
        <v>921338</v>
      </c>
    </row>
    <row r="32" spans="2:23" ht="20.100000000000001" customHeight="1" thickBot="1" x14ac:dyDescent="0.25">
      <c r="B32" s="9" t="s">
        <v>51</v>
      </c>
      <c r="C32" s="11">
        <v>171532</v>
      </c>
      <c r="D32" s="11">
        <v>177761</v>
      </c>
      <c r="E32" s="11">
        <v>185474</v>
      </c>
      <c r="F32" s="11">
        <v>193913</v>
      </c>
      <c r="G32" s="11">
        <v>203737</v>
      </c>
      <c r="H32" s="11">
        <v>213505</v>
      </c>
      <c r="I32" s="11">
        <v>224076</v>
      </c>
      <c r="J32" s="11">
        <v>237787</v>
      </c>
      <c r="K32" s="11">
        <v>246151</v>
      </c>
      <c r="L32" s="11">
        <v>251563</v>
      </c>
      <c r="M32" s="11">
        <v>256461</v>
      </c>
      <c r="N32" s="11">
        <v>259537</v>
      </c>
      <c r="O32" s="11">
        <v>257723</v>
      </c>
      <c r="P32" s="11">
        <v>255426</v>
      </c>
      <c r="Q32" s="11">
        <v>253686</v>
      </c>
      <c r="R32" s="11">
        <v>252882</v>
      </c>
      <c r="S32" s="11">
        <v>253310</v>
      </c>
      <c r="T32" s="11">
        <f>'Poblacion INE'!B20</f>
        <v>254308</v>
      </c>
      <c r="U32" s="11">
        <v>257762</v>
      </c>
      <c r="V32" s="11">
        <v>261995</v>
      </c>
      <c r="W32" s="11">
        <v>265588</v>
      </c>
    </row>
    <row r="33" spans="2:23" ht="20.100000000000001" customHeight="1" thickBot="1" x14ac:dyDescent="0.25">
      <c r="B33" s="9" t="s">
        <v>52</v>
      </c>
      <c r="C33" s="11">
        <v>461730</v>
      </c>
      <c r="D33" s="11">
        <v>464934</v>
      </c>
      <c r="E33" s="11">
        <v>472446</v>
      </c>
      <c r="F33" s="11">
        <v>476707</v>
      </c>
      <c r="G33" s="11">
        <v>483792</v>
      </c>
      <c r="H33" s="11">
        <v>492174</v>
      </c>
      <c r="I33" s="11">
        <v>497671</v>
      </c>
      <c r="J33" s="11">
        <v>507915</v>
      </c>
      <c r="K33" s="11">
        <v>513403</v>
      </c>
      <c r="L33" s="11">
        <v>518081</v>
      </c>
      <c r="M33" s="11">
        <v>521968</v>
      </c>
      <c r="N33" s="11">
        <v>522862</v>
      </c>
      <c r="O33" s="11">
        <v>520668</v>
      </c>
      <c r="P33" s="11">
        <v>519229</v>
      </c>
      <c r="Q33" s="11">
        <v>520017</v>
      </c>
      <c r="R33" s="11">
        <v>519596</v>
      </c>
      <c r="S33" s="11">
        <v>518930</v>
      </c>
      <c r="T33" s="11">
        <f>'Poblacion INE'!B22</f>
        <v>519932</v>
      </c>
      <c r="U33" s="11">
        <v>521870</v>
      </c>
      <c r="V33" s="11">
        <v>524278</v>
      </c>
      <c r="W33" s="11">
        <v>525835</v>
      </c>
    </row>
    <row r="34" spans="2:23" ht="20.100000000000001" customHeight="1" thickBot="1" x14ac:dyDescent="0.25">
      <c r="B34" s="9" t="s">
        <v>53</v>
      </c>
      <c r="C34" s="11">
        <v>205955</v>
      </c>
      <c r="D34" s="11">
        <v>208963</v>
      </c>
      <c r="E34" s="11">
        <v>211286</v>
      </c>
      <c r="F34" s="11">
        <v>212901</v>
      </c>
      <c r="G34" s="11">
        <v>215864</v>
      </c>
      <c r="H34" s="11">
        <v>218023</v>
      </c>
      <c r="I34" s="11">
        <v>220107</v>
      </c>
      <c r="J34" s="11">
        <v>225271</v>
      </c>
      <c r="K34" s="11">
        <v>228409</v>
      </c>
      <c r="L34" s="11">
        <v>228566</v>
      </c>
      <c r="M34" s="11">
        <v>228361</v>
      </c>
      <c r="N34" s="11">
        <v>227609</v>
      </c>
      <c r="O34" s="11">
        <v>226329</v>
      </c>
      <c r="P34" s="11">
        <v>224909</v>
      </c>
      <c r="Q34" s="11">
        <v>222909</v>
      </c>
      <c r="R34" s="11">
        <v>221079</v>
      </c>
      <c r="S34" s="11">
        <v>219702</v>
      </c>
      <c r="T34" s="11">
        <f>'Poblacion INE'!B23</f>
        <v>219345</v>
      </c>
      <c r="U34" s="11">
        <v>220461</v>
      </c>
      <c r="V34" s="11">
        <v>222687</v>
      </c>
      <c r="W34" s="11">
        <v>224264</v>
      </c>
    </row>
    <row r="35" spans="2:23" ht="20.100000000000001" customHeight="1" thickBot="1" x14ac:dyDescent="0.25">
      <c r="B35" s="9" t="s">
        <v>54</v>
      </c>
      <c r="C35" s="11">
        <v>645781</v>
      </c>
      <c r="D35" s="11">
        <v>647387</v>
      </c>
      <c r="E35" s="11">
        <v>651565</v>
      </c>
      <c r="F35" s="11">
        <v>654458</v>
      </c>
      <c r="G35" s="11">
        <v>660284</v>
      </c>
      <c r="H35" s="11">
        <v>662751</v>
      </c>
      <c r="I35" s="11">
        <v>664742</v>
      </c>
      <c r="J35" s="11">
        <v>667438</v>
      </c>
      <c r="K35" s="11">
        <v>669782</v>
      </c>
      <c r="L35" s="11">
        <v>670761</v>
      </c>
      <c r="M35" s="11">
        <v>670600</v>
      </c>
      <c r="N35" s="11">
        <v>670242</v>
      </c>
      <c r="O35" s="11">
        <v>664916</v>
      </c>
      <c r="P35" s="11">
        <v>659033</v>
      </c>
      <c r="Q35" s="11">
        <v>654170</v>
      </c>
      <c r="R35" s="11">
        <v>648250</v>
      </c>
      <c r="S35" s="11">
        <v>643484</v>
      </c>
      <c r="T35" s="11">
        <f>'Poblacion INE'!B24</f>
        <v>638099</v>
      </c>
      <c r="U35" s="11">
        <v>633564</v>
      </c>
      <c r="V35" s="11">
        <v>631381</v>
      </c>
      <c r="W35" s="11">
        <v>627190</v>
      </c>
    </row>
    <row r="36" spans="2:23" ht="20.100000000000001" customHeight="1" thickBot="1" x14ac:dyDescent="0.25">
      <c r="B36" s="9" t="s">
        <v>55</v>
      </c>
      <c r="C36" s="11">
        <v>499517</v>
      </c>
      <c r="D36" s="11">
        <v>496655</v>
      </c>
      <c r="E36" s="11">
        <v>495998</v>
      </c>
      <c r="F36" s="11">
        <v>492720</v>
      </c>
      <c r="G36" s="11">
        <v>495902</v>
      </c>
      <c r="H36" s="11">
        <v>498223</v>
      </c>
      <c r="I36" s="11">
        <v>497387</v>
      </c>
      <c r="J36" s="11">
        <v>500200</v>
      </c>
      <c r="K36" s="11">
        <v>500169</v>
      </c>
      <c r="L36" s="11">
        <v>499284</v>
      </c>
      <c r="M36" s="11">
        <v>497799</v>
      </c>
      <c r="N36" s="11">
        <v>494451</v>
      </c>
      <c r="O36" s="11">
        <v>489752</v>
      </c>
      <c r="P36" s="11">
        <v>484694</v>
      </c>
      <c r="Q36" s="11">
        <v>479395</v>
      </c>
      <c r="R36" s="11">
        <v>473604</v>
      </c>
      <c r="S36" s="11">
        <v>468316</v>
      </c>
      <c r="T36" s="11">
        <f>'Poblacion INE'!B25</f>
        <v>463746</v>
      </c>
      <c r="U36" s="11">
        <v>460001</v>
      </c>
      <c r="V36" s="11">
        <v>456439</v>
      </c>
      <c r="W36" s="11">
        <v>451706</v>
      </c>
    </row>
    <row r="37" spans="2:23" ht="20.100000000000001" customHeight="1" thickBot="1" x14ac:dyDescent="0.25">
      <c r="B37" s="9" t="s">
        <v>56</v>
      </c>
      <c r="C37" s="11">
        <v>365023</v>
      </c>
      <c r="D37" s="11">
        <v>371055</v>
      </c>
      <c r="E37" s="11">
        <v>377639</v>
      </c>
      <c r="F37" s="11">
        <v>385092</v>
      </c>
      <c r="G37" s="11">
        <v>399439</v>
      </c>
      <c r="H37" s="11">
        <v>407496</v>
      </c>
      <c r="I37" s="11">
        <v>414015</v>
      </c>
      <c r="J37" s="11">
        <v>426872</v>
      </c>
      <c r="K37" s="11">
        <v>436402</v>
      </c>
      <c r="L37" s="11">
        <v>439768</v>
      </c>
      <c r="M37" s="11">
        <v>442308</v>
      </c>
      <c r="N37" s="11">
        <v>443032</v>
      </c>
      <c r="O37" s="11">
        <v>440915</v>
      </c>
      <c r="P37" s="11">
        <v>438001</v>
      </c>
      <c r="Q37" s="11">
        <v>436029</v>
      </c>
      <c r="R37" s="11">
        <v>434041</v>
      </c>
      <c r="S37" s="11">
        <v>432384</v>
      </c>
      <c r="T37" s="11">
        <f>'Poblacion INE'!B26</f>
        <v>432866</v>
      </c>
      <c r="U37" s="11">
        <v>434930</v>
      </c>
      <c r="V37" s="11">
        <v>438517</v>
      </c>
      <c r="W37" s="11">
        <v>439727</v>
      </c>
    </row>
    <row r="38" spans="2:23" ht="20.100000000000001" customHeight="1" thickBot="1" x14ac:dyDescent="0.25">
      <c r="B38" s="9" t="s">
        <v>57</v>
      </c>
      <c r="C38" s="11">
        <v>364125</v>
      </c>
      <c r="D38" s="11">
        <v>361782</v>
      </c>
      <c r="E38" s="11">
        <v>360512</v>
      </c>
      <c r="F38" s="11">
        <v>358452</v>
      </c>
      <c r="G38" s="11">
        <v>357625</v>
      </c>
      <c r="H38" s="11">
        <v>356595</v>
      </c>
      <c r="I38" s="11">
        <v>355176</v>
      </c>
      <c r="J38" s="11">
        <v>355549</v>
      </c>
      <c r="K38" s="11">
        <v>355195</v>
      </c>
      <c r="L38" s="11">
        <v>353504</v>
      </c>
      <c r="M38" s="11">
        <v>351530</v>
      </c>
      <c r="N38" s="11">
        <v>348902</v>
      </c>
      <c r="O38" s="11">
        <v>346005</v>
      </c>
      <c r="P38" s="11">
        <v>342748</v>
      </c>
      <c r="Q38" s="11">
        <v>339386</v>
      </c>
      <c r="R38" s="11">
        <v>336527</v>
      </c>
      <c r="S38" s="11">
        <v>333634</v>
      </c>
      <c r="T38" s="11">
        <f>'Poblacion INE'!B28</f>
        <v>331327</v>
      </c>
      <c r="U38" s="11">
        <v>329587</v>
      </c>
      <c r="V38" s="11">
        <v>327946</v>
      </c>
      <c r="W38" s="11">
        <v>326013</v>
      </c>
    </row>
    <row r="39" spans="2:23" ht="20.100000000000001" customHeight="1" thickBot="1" x14ac:dyDescent="0.25">
      <c r="B39" s="9" t="s">
        <v>58</v>
      </c>
      <c r="C39" s="11">
        <v>5372433</v>
      </c>
      <c r="D39" s="11">
        <v>5527152</v>
      </c>
      <c r="E39" s="11">
        <v>5718942</v>
      </c>
      <c r="F39" s="11">
        <v>5804829</v>
      </c>
      <c r="G39" s="11">
        <v>5964143</v>
      </c>
      <c r="H39" s="11">
        <v>6008183</v>
      </c>
      <c r="I39" s="11">
        <v>6081689</v>
      </c>
      <c r="J39" s="11">
        <v>6271638</v>
      </c>
      <c r="K39" s="11">
        <v>6386932</v>
      </c>
      <c r="L39" s="11">
        <v>6458684</v>
      </c>
      <c r="M39" s="11">
        <v>6489680</v>
      </c>
      <c r="N39" s="11">
        <v>6498560</v>
      </c>
      <c r="O39" s="11">
        <v>6495551</v>
      </c>
      <c r="P39" s="11">
        <v>6454440</v>
      </c>
      <c r="Q39" s="11">
        <v>6436996</v>
      </c>
      <c r="R39" s="11">
        <v>6466996</v>
      </c>
      <c r="S39" s="11">
        <v>6507184</v>
      </c>
      <c r="T39" s="11">
        <f>'Poblacion INE'!B29</f>
        <v>6578079</v>
      </c>
      <c r="U39" s="11">
        <v>6663394</v>
      </c>
      <c r="V39" s="11">
        <v>6779888</v>
      </c>
      <c r="W39" s="11">
        <v>6751251</v>
      </c>
    </row>
    <row r="40" spans="2:23" ht="20.100000000000001" customHeight="1" thickBot="1" x14ac:dyDescent="0.25">
      <c r="B40" s="9" t="s">
        <v>59</v>
      </c>
      <c r="C40" s="11">
        <v>1302240</v>
      </c>
      <c r="D40" s="11">
        <v>1330010</v>
      </c>
      <c r="E40" s="11">
        <v>1374890</v>
      </c>
      <c r="F40" s="11">
        <v>1397925</v>
      </c>
      <c r="G40" s="11">
        <v>1453409</v>
      </c>
      <c r="H40" s="11">
        <v>1491287</v>
      </c>
      <c r="I40" s="11">
        <v>1517523</v>
      </c>
      <c r="J40" s="11">
        <v>1563261</v>
      </c>
      <c r="K40" s="11">
        <v>1593068</v>
      </c>
      <c r="L40" s="11">
        <v>1609557</v>
      </c>
      <c r="M40" s="11">
        <v>1625827</v>
      </c>
      <c r="N40" s="11">
        <v>1641098</v>
      </c>
      <c r="O40" s="11">
        <v>1652999</v>
      </c>
      <c r="P40" s="11">
        <v>1621968</v>
      </c>
      <c r="Q40" s="11">
        <v>1628973</v>
      </c>
      <c r="R40" s="11">
        <v>1629298</v>
      </c>
      <c r="S40" s="11">
        <v>1630615</v>
      </c>
      <c r="T40" s="11">
        <f>'Poblacion INE'!B30</f>
        <v>1641121</v>
      </c>
      <c r="U40" s="11">
        <v>1661785</v>
      </c>
      <c r="V40" s="11">
        <v>1685920</v>
      </c>
      <c r="W40" s="11">
        <v>1695651</v>
      </c>
    </row>
    <row r="41" spans="2:23" ht="20.100000000000001" customHeight="1" thickBot="1" x14ac:dyDescent="0.25">
      <c r="B41" s="9" t="s">
        <v>60</v>
      </c>
      <c r="C41" s="11">
        <v>1190378</v>
      </c>
      <c r="D41" s="11">
        <v>1226993</v>
      </c>
      <c r="E41" s="11">
        <v>1269230</v>
      </c>
      <c r="F41" s="11">
        <v>1294694</v>
      </c>
      <c r="G41" s="11">
        <v>1335792</v>
      </c>
      <c r="H41" s="11">
        <v>1370306</v>
      </c>
      <c r="I41" s="11">
        <v>1392117</v>
      </c>
      <c r="J41" s="11">
        <v>1426109</v>
      </c>
      <c r="K41" s="11">
        <v>1446520</v>
      </c>
      <c r="L41" s="11">
        <v>1461979</v>
      </c>
      <c r="M41" s="11">
        <v>1470069</v>
      </c>
      <c r="N41" s="11">
        <v>1474449</v>
      </c>
      <c r="O41" s="11">
        <v>1472049</v>
      </c>
      <c r="P41" s="11">
        <v>1466818</v>
      </c>
      <c r="Q41" s="11">
        <v>1467288</v>
      </c>
      <c r="R41" s="11">
        <v>1464847</v>
      </c>
      <c r="S41" s="11">
        <v>1470273</v>
      </c>
      <c r="T41" s="11">
        <f>'Poblacion INE'!B31</f>
        <v>1478509</v>
      </c>
      <c r="U41" s="11">
        <v>1493898</v>
      </c>
      <c r="V41" s="11">
        <v>1511251</v>
      </c>
      <c r="W41" s="11">
        <v>1518486</v>
      </c>
    </row>
    <row r="42" spans="2:23" ht="20.100000000000001" customHeight="1" thickBot="1" x14ac:dyDescent="0.25">
      <c r="B42" s="9" t="s">
        <v>61</v>
      </c>
      <c r="C42" s="11">
        <v>556263</v>
      </c>
      <c r="D42" s="11">
        <v>569628</v>
      </c>
      <c r="E42" s="11">
        <v>578210</v>
      </c>
      <c r="F42" s="11">
        <v>584734</v>
      </c>
      <c r="G42" s="11">
        <v>593472</v>
      </c>
      <c r="H42" s="11">
        <v>601874</v>
      </c>
      <c r="I42" s="11">
        <v>605876</v>
      </c>
      <c r="J42" s="11">
        <v>620377</v>
      </c>
      <c r="K42" s="11">
        <v>630578</v>
      </c>
      <c r="L42" s="11">
        <v>636924</v>
      </c>
      <c r="M42" s="11">
        <v>642051</v>
      </c>
      <c r="N42" s="11">
        <v>644566</v>
      </c>
      <c r="O42" s="11">
        <v>644477</v>
      </c>
      <c r="P42" s="11">
        <v>640790</v>
      </c>
      <c r="Q42" s="11">
        <v>640476</v>
      </c>
      <c r="R42" s="11">
        <v>640647</v>
      </c>
      <c r="S42" s="11">
        <v>643234</v>
      </c>
      <c r="T42" s="11">
        <f>'Poblacion INE'!B32</f>
        <v>647554</v>
      </c>
      <c r="U42" s="11">
        <v>654214</v>
      </c>
      <c r="V42" s="11">
        <v>661197</v>
      </c>
      <c r="W42" s="11">
        <v>661537</v>
      </c>
    </row>
    <row r="43" spans="2:23" ht="20.100000000000001" customHeight="1" thickBot="1" x14ac:dyDescent="0.25">
      <c r="B43" s="9" t="s">
        <v>62</v>
      </c>
      <c r="C43" s="11">
        <v>344623</v>
      </c>
      <c r="D43" s="11">
        <v>343768</v>
      </c>
      <c r="E43" s="11">
        <v>342213</v>
      </c>
      <c r="F43" s="11">
        <v>340258</v>
      </c>
      <c r="G43" s="11">
        <v>339555</v>
      </c>
      <c r="H43" s="11">
        <v>338671</v>
      </c>
      <c r="I43" s="11">
        <v>336926</v>
      </c>
      <c r="J43" s="11">
        <v>336099</v>
      </c>
      <c r="K43" s="11">
        <v>335642</v>
      </c>
      <c r="L43" s="11">
        <v>335219</v>
      </c>
      <c r="M43" s="11">
        <v>333257</v>
      </c>
      <c r="N43" s="11">
        <v>330257</v>
      </c>
      <c r="O43" s="11">
        <v>326724</v>
      </c>
      <c r="P43" s="11">
        <v>322293</v>
      </c>
      <c r="Q43" s="11">
        <v>318391</v>
      </c>
      <c r="R43" s="11">
        <v>314853</v>
      </c>
      <c r="S43" s="11">
        <v>311680</v>
      </c>
      <c r="T43" s="11">
        <f>'Poblacion INE'!B33</f>
        <v>309293</v>
      </c>
      <c r="U43" s="11">
        <v>307651</v>
      </c>
      <c r="V43" s="11">
        <v>306650</v>
      </c>
      <c r="W43" s="11">
        <v>305223</v>
      </c>
    </row>
    <row r="44" spans="2:23" ht="20.100000000000001" customHeight="1" thickBot="1" x14ac:dyDescent="0.25">
      <c r="B44" s="9" t="s">
        <v>63</v>
      </c>
      <c r="C44" s="11">
        <v>177345</v>
      </c>
      <c r="D44" s="11">
        <v>176125</v>
      </c>
      <c r="E44" s="11">
        <v>175047</v>
      </c>
      <c r="F44" s="11">
        <v>173990</v>
      </c>
      <c r="G44" s="11">
        <v>173471</v>
      </c>
      <c r="H44" s="11">
        <v>173153</v>
      </c>
      <c r="I44" s="11">
        <v>173281</v>
      </c>
      <c r="J44" s="11">
        <v>173454</v>
      </c>
      <c r="K44" s="11">
        <v>173306</v>
      </c>
      <c r="L44" s="11">
        <v>172510</v>
      </c>
      <c r="M44" s="11">
        <v>171668</v>
      </c>
      <c r="N44" s="11">
        <v>170713</v>
      </c>
      <c r="O44" s="11">
        <v>168955</v>
      </c>
      <c r="P44" s="11">
        <v>167609</v>
      </c>
      <c r="Q44" s="11">
        <v>166035</v>
      </c>
      <c r="R44" s="11">
        <v>164644</v>
      </c>
      <c r="S44" s="11">
        <v>163390</v>
      </c>
      <c r="T44" s="11">
        <f>'Poblacion INE'!B35</f>
        <v>162035</v>
      </c>
      <c r="U44" s="11">
        <v>160980</v>
      </c>
      <c r="V44" s="11">
        <v>160321</v>
      </c>
      <c r="W44" s="11">
        <v>159123</v>
      </c>
    </row>
    <row r="45" spans="2:23" ht="20.100000000000001" customHeight="1" thickBot="1" x14ac:dyDescent="0.25">
      <c r="B45" s="9" t="s">
        <v>64</v>
      </c>
      <c r="C45" s="11">
        <v>924558</v>
      </c>
      <c r="D45" s="11">
        <v>951037</v>
      </c>
      <c r="E45" s="11">
        <v>979606</v>
      </c>
      <c r="F45" s="11">
        <v>987128</v>
      </c>
      <c r="G45" s="11">
        <v>1011928</v>
      </c>
      <c r="H45" s="11">
        <v>1024186</v>
      </c>
      <c r="I45" s="11">
        <v>1042131</v>
      </c>
      <c r="J45" s="11">
        <v>1070032</v>
      </c>
      <c r="K45" s="11">
        <v>1083502</v>
      </c>
      <c r="L45" s="11">
        <v>1090605</v>
      </c>
      <c r="M45" s="11">
        <v>1096980</v>
      </c>
      <c r="N45" s="11">
        <v>1100813</v>
      </c>
      <c r="O45" s="11">
        <v>1103850</v>
      </c>
      <c r="P45" s="11">
        <v>1100027</v>
      </c>
      <c r="Q45" s="11">
        <v>1098406</v>
      </c>
      <c r="R45" s="11">
        <v>1097800</v>
      </c>
      <c r="S45" s="11">
        <v>1100480</v>
      </c>
      <c r="T45" s="11">
        <f>'Poblacion INE'!B36</f>
        <v>1109175</v>
      </c>
      <c r="U45" s="11">
        <v>1120406</v>
      </c>
      <c r="V45" s="11">
        <v>1131065</v>
      </c>
      <c r="W45" s="11">
        <v>1128539</v>
      </c>
    </row>
    <row r="46" spans="2:23" ht="20.100000000000001" customHeight="1" thickBot="1" x14ac:dyDescent="0.25">
      <c r="B46" s="9" t="s">
        <v>65</v>
      </c>
      <c r="C46" s="11">
        <v>916176</v>
      </c>
      <c r="D46" s="11">
        <v>919934</v>
      </c>
      <c r="E46" s="11">
        <v>927555</v>
      </c>
      <c r="F46" s="11">
        <v>930931</v>
      </c>
      <c r="G46" s="11">
        <v>938311</v>
      </c>
      <c r="H46" s="11">
        <v>943117</v>
      </c>
      <c r="I46" s="11">
        <v>947639</v>
      </c>
      <c r="J46" s="11">
        <v>953400</v>
      </c>
      <c r="K46" s="11">
        <v>959764</v>
      </c>
      <c r="L46" s="11">
        <v>962472</v>
      </c>
      <c r="M46" s="11">
        <v>963511</v>
      </c>
      <c r="N46" s="11">
        <v>958428</v>
      </c>
      <c r="O46" s="11">
        <v>955050</v>
      </c>
      <c r="P46" s="11">
        <v>950919</v>
      </c>
      <c r="Q46" s="11">
        <v>947374</v>
      </c>
      <c r="R46" s="11">
        <v>944346</v>
      </c>
      <c r="S46" s="11">
        <v>942731</v>
      </c>
      <c r="T46" s="11">
        <f>'Poblacion INE'!B37</f>
        <v>941772</v>
      </c>
      <c r="U46" s="11">
        <v>942665</v>
      </c>
      <c r="V46" s="11">
        <v>945408</v>
      </c>
      <c r="W46" s="11">
        <v>944275</v>
      </c>
    </row>
    <row r="47" spans="2:23" ht="20.100000000000001" customHeight="1" thickBot="1" x14ac:dyDescent="0.25">
      <c r="B47" s="9" t="s">
        <v>30</v>
      </c>
      <c r="C47" s="11">
        <v>270400</v>
      </c>
      <c r="D47" s="11">
        <v>281614</v>
      </c>
      <c r="E47" s="11">
        <v>287390</v>
      </c>
      <c r="F47" s="11">
        <v>293553</v>
      </c>
      <c r="G47" s="11">
        <v>301084</v>
      </c>
      <c r="H47" s="11">
        <v>306377</v>
      </c>
      <c r="I47" s="11">
        <v>308968</v>
      </c>
      <c r="J47" s="11">
        <v>317501</v>
      </c>
      <c r="K47" s="11">
        <v>321702</v>
      </c>
      <c r="L47" s="11">
        <v>322415</v>
      </c>
      <c r="M47" s="11">
        <v>322955</v>
      </c>
      <c r="N47" s="11">
        <v>323609</v>
      </c>
      <c r="O47" s="11">
        <v>322027</v>
      </c>
      <c r="P47" s="11">
        <v>319002</v>
      </c>
      <c r="Q47" s="11">
        <v>317053</v>
      </c>
      <c r="R47" s="11">
        <v>315794</v>
      </c>
      <c r="S47" s="11">
        <v>315381</v>
      </c>
      <c r="T47" s="11">
        <f>'Poblacion INE'!B27</f>
        <v>315675</v>
      </c>
      <c r="U47" s="11">
        <v>316798</v>
      </c>
      <c r="V47" s="11">
        <v>319914</v>
      </c>
      <c r="W47" s="11">
        <v>319796</v>
      </c>
    </row>
    <row r="48" spans="2:23" ht="20.100000000000001" customHeight="1" thickBot="1" x14ac:dyDescent="0.25">
      <c r="B48" s="9" t="s">
        <v>66</v>
      </c>
      <c r="C48" s="11">
        <v>350209</v>
      </c>
      <c r="D48" s="11">
        <v>347120</v>
      </c>
      <c r="E48" s="11">
        <v>348271</v>
      </c>
      <c r="F48" s="11">
        <v>350984</v>
      </c>
      <c r="G48" s="11">
        <v>352414</v>
      </c>
      <c r="H48" s="11">
        <v>353110</v>
      </c>
      <c r="I48" s="11">
        <v>351326</v>
      </c>
      <c r="J48" s="11">
        <v>353404</v>
      </c>
      <c r="K48" s="11">
        <v>354608</v>
      </c>
      <c r="L48" s="11">
        <v>353619</v>
      </c>
      <c r="M48" s="11">
        <v>352986</v>
      </c>
      <c r="N48" s="11">
        <v>350564</v>
      </c>
      <c r="O48" s="11">
        <v>345548</v>
      </c>
      <c r="P48" s="11">
        <v>342459</v>
      </c>
      <c r="Q48" s="11">
        <v>339395</v>
      </c>
      <c r="R48" s="11">
        <v>335985</v>
      </c>
      <c r="S48" s="11">
        <v>333603</v>
      </c>
      <c r="T48" s="11">
        <f>'Poblacion INE'!B38</f>
        <v>331473</v>
      </c>
      <c r="U48" s="11">
        <v>330119</v>
      </c>
      <c r="V48" s="11">
        <v>329245</v>
      </c>
      <c r="W48" s="11">
        <v>327338</v>
      </c>
    </row>
    <row r="49" spans="2:23" ht="20.100000000000001" customHeight="1" thickBot="1" x14ac:dyDescent="0.25">
      <c r="B49" s="9" t="s">
        <v>67</v>
      </c>
      <c r="C49" s="11">
        <v>856808</v>
      </c>
      <c r="D49" s="11">
        <v>892718</v>
      </c>
      <c r="E49" s="11">
        <v>915262</v>
      </c>
      <c r="F49" s="11">
        <v>928412</v>
      </c>
      <c r="G49" s="11">
        <v>956352</v>
      </c>
      <c r="H49" s="11">
        <v>971647</v>
      </c>
      <c r="I49" s="11">
        <v>983820</v>
      </c>
      <c r="J49" s="11">
        <v>1005936</v>
      </c>
      <c r="K49" s="11">
        <v>1020490</v>
      </c>
      <c r="L49" s="11">
        <v>1027914</v>
      </c>
      <c r="M49" s="11">
        <v>1029789</v>
      </c>
      <c r="N49" s="11">
        <v>1017531</v>
      </c>
      <c r="O49" s="11">
        <v>1014829</v>
      </c>
      <c r="P49" s="11">
        <v>1004788</v>
      </c>
      <c r="Q49" s="11">
        <v>1001900</v>
      </c>
      <c r="R49" s="11">
        <v>1004124</v>
      </c>
      <c r="S49" s="11">
        <v>1007641</v>
      </c>
      <c r="T49" s="11">
        <f>'Poblacion INE'!B39</f>
        <v>1018510</v>
      </c>
      <c r="U49" s="11">
        <v>1032983</v>
      </c>
      <c r="V49" s="11">
        <v>1044887</v>
      </c>
      <c r="W49" s="11">
        <v>1044405</v>
      </c>
    </row>
    <row r="50" spans="2:23" ht="20.100000000000001" customHeight="1" thickBot="1" x14ac:dyDescent="0.25">
      <c r="B50" s="9" t="s">
        <v>68</v>
      </c>
      <c r="C50" s="11">
        <v>147028</v>
      </c>
      <c r="D50" s="11">
        <v>149286</v>
      </c>
      <c r="E50" s="11">
        <v>150701</v>
      </c>
      <c r="F50" s="11">
        <v>152640</v>
      </c>
      <c r="G50" s="11">
        <v>155517</v>
      </c>
      <c r="H50" s="11">
        <v>156598</v>
      </c>
      <c r="I50" s="11">
        <v>159322</v>
      </c>
      <c r="J50" s="11">
        <v>163899</v>
      </c>
      <c r="K50" s="11">
        <v>164854</v>
      </c>
      <c r="L50" s="11">
        <v>164268</v>
      </c>
      <c r="M50" s="11">
        <v>164169</v>
      </c>
      <c r="N50" s="11">
        <v>163701</v>
      </c>
      <c r="O50" s="11">
        <v>161702</v>
      </c>
      <c r="P50" s="11">
        <v>159303</v>
      </c>
      <c r="Q50" s="11">
        <v>157570</v>
      </c>
      <c r="R50" s="11">
        <v>155652</v>
      </c>
      <c r="S50" s="11">
        <v>154184</v>
      </c>
      <c r="T50" s="11">
        <f>'Poblacion INE'!B41</f>
        <v>153342</v>
      </c>
      <c r="U50" s="11">
        <v>153129</v>
      </c>
      <c r="V50" s="11">
        <v>153478</v>
      </c>
      <c r="W50" s="11">
        <v>153663</v>
      </c>
    </row>
    <row r="51" spans="2:23" ht="20.100000000000001" customHeight="1" thickBot="1" x14ac:dyDescent="0.25">
      <c r="B51" s="9" t="s">
        <v>69</v>
      </c>
      <c r="C51" s="11">
        <v>1747441</v>
      </c>
      <c r="D51" s="11">
        <v>1758720</v>
      </c>
      <c r="E51" s="11">
        <v>1782862</v>
      </c>
      <c r="F51" s="11">
        <v>1792420</v>
      </c>
      <c r="G51" s="11">
        <v>1813908</v>
      </c>
      <c r="H51" s="11">
        <v>1835077</v>
      </c>
      <c r="I51" s="11">
        <v>1849268</v>
      </c>
      <c r="J51" s="11">
        <v>1875462</v>
      </c>
      <c r="K51" s="11">
        <v>1900224</v>
      </c>
      <c r="L51" s="11">
        <v>1917097</v>
      </c>
      <c r="M51" s="11">
        <v>1928962</v>
      </c>
      <c r="N51" s="11">
        <v>1938974</v>
      </c>
      <c r="O51" s="11">
        <v>1942155</v>
      </c>
      <c r="P51" s="11">
        <v>1941355</v>
      </c>
      <c r="Q51" s="11">
        <v>1941480</v>
      </c>
      <c r="R51" s="11">
        <v>1939775</v>
      </c>
      <c r="S51" s="11">
        <v>1939527</v>
      </c>
      <c r="T51" s="11">
        <f>'Poblacion INE'!B42</f>
        <v>1939887</v>
      </c>
      <c r="U51" s="11">
        <v>1942389</v>
      </c>
      <c r="V51" s="11">
        <v>1950219</v>
      </c>
      <c r="W51" s="11">
        <v>1947852</v>
      </c>
    </row>
    <row r="52" spans="2:23" ht="20.100000000000001" customHeight="1" thickBot="1" x14ac:dyDescent="0.25">
      <c r="B52" s="9" t="s">
        <v>70</v>
      </c>
      <c r="C52" s="11">
        <v>91314</v>
      </c>
      <c r="D52" s="11">
        <v>91487</v>
      </c>
      <c r="E52" s="11">
        <v>90954</v>
      </c>
      <c r="F52" s="11">
        <v>91652</v>
      </c>
      <c r="G52" s="11">
        <v>92773</v>
      </c>
      <c r="H52" s="11">
        <v>93503</v>
      </c>
      <c r="I52" s="11">
        <v>93593</v>
      </c>
      <c r="J52" s="11">
        <v>94646</v>
      </c>
      <c r="K52" s="11">
        <v>95101</v>
      </c>
      <c r="L52" s="11">
        <v>95258</v>
      </c>
      <c r="M52" s="11">
        <v>95223</v>
      </c>
      <c r="N52" s="11">
        <v>94522</v>
      </c>
      <c r="O52" s="11">
        <v>93291</v>
      </c>
      <c r="P52" s="11">
        <v>92221</v>
      </c>
      <c r="Q52" s="11">
        <v>91006</v>
      </c>
      <c r="R52" s="11">
        <v>90040</v>
      </c>
      <c r="S52" s="11">
        <v>88903</v>
      </c>
      <c r="T52" s="11">
        <f>'Poblacion INE'!B43</f>
        <v>88600</v>
      </c>
      <c r="U52" s="11">
        <v>88636</v>
      </c>
      <c r="V52" s="11">
        <v>88884</v>
      </c>
      <c r="W52" s="11">
        <v>88747</v>
      </c>
    </row>
    <row r="53" spans="2:23" ht="20.100000000000001" customHeight="1" thickBot="1" x14ac:dyDescent="0.25">
      <c r="B53" s="9" t="s">
        <v>71</v>
      </c>
      <c r="C53" s="11">
        <v>612086</v>
      </c>
      <c r="D53" s="11">
        <v>631156</v>
      </c>
      <c r="E53" s="11">
        <v>654149</v>
      </c>
      <c r="F53" s="11">
        <v>674144</v>
      </c>
      <c r="G53" s="11">
        <v>704907</v>
      </c>
      <c r="H53" s="11">
        <v>730466</v>
      </c>
      <c r="I53" s="11">
        <v>757795</v>
      </c>
      <c r="J53" s="11">
        <v>788895</v>
      </c>
      <c r="K53" s="11">
        <v>803301</v>
      </c>
      <c r="L53" s="11">
        <v>808420</v>
      </c>
      <c r="M53" s="11">
        <v>811401</v>
      </c>
      <c r="N53" s="11">
        <v>814199</v>
      </c>
      <c r="O53" s="11">
        <v>810178</v>
      </c>
      <c r="P53" s="11">
        <v>800962</v>
      </c>
      <c r="Q53" s="11">
        <v>795101</v>
      </c>
      <c r="R53" s="11">
        <v>792299</v>
      </c>
      <c r="S53" s="11">
        <v>791693</v>
      </c>
      <c r="T53" s="11">
        <f>'Poblacion INE'!B44</f>
        <v>795902</v>
      </c>
      <c r="U53" s="11">
        <v>804664</v>
      </c>
      <c r="V53" s="11">
        <v>816772</v>
      </c>
      <c r="W53" s="11">
        <v>822309</v>
      </c>
    </row>
    <row r="54" spans="2:23" ht="20.100000000000001" customHeight="1" thickBot="1" x14ac:dyDescent="0.25">
      <c r="B54" s="9" t="s">
        <v>72</v>
      </c>
      <c r="C54" s="11">
        <v>136233</v>
      </c>
      <c r="D54" s="11">
        <v>137342</v>
      </c>
      <c r="E54" s="11">
        <v>138686</v>
      </c>
      <c r="F54" s="11">
        <v>139333</v>
      </c>
      <c r="G54" s="11">
        <v>141091</v>
      </c>
      <c r="H54" s="11">
        <v>142160</v>
      </c>
      <c r="I54" s="11">
        <v>144046</v>
      </c>
      <c r="J54" s="11">
        <v>146324</v>
      </c>
      <c r="K54" s="11">
        <v>146751</v>
      </c>
      <c r="L54" s="11">
        <v>145277</v>
      </c>
      <c r="M54" s="11">
        <v>144607</v>
      </c>
      <c r="N54" s="11">
        <v>143728</v>
      </c>
      <c r="O54" s="11">
        <v>142183</v>
      </c>
      <c r="P54" s="11">
        <v>140365</v>
      </c>
      <c r="Q54" s="11">
        <v>138932</v>
      </c>
      <c r="R54" s="11">
        <v>136977</v>
      </c>
      <c r="S54" s="11">
        <v>135562</v>
      </c>
      <c r="T54" s="11">
        <f>'Poblacion INE'!B45</f>
        <v>134572</v>
      </c>
      <c r="U54" s="11">
        <v>134137</v>
      </c>
      <c r="V54" s="11">
        <v>134176</v>
      </c>
      <c r="W54" s="11">
        <v>134545</v>
      </c>
    </row>
    <row r="55" spans="2:23" ht="20.100000000000001" customHeight="1" thickBot="1" x14ac:dyDescent="0.25">
      <c r="B55" s="9" t="s">
        <v>73</v>
      </c>
      <c r="C55" s="11">
        <v>536131</v>
      </c>
      <c r="D55" s="11">
        <v>546538</v>
      </c>
      <c r="E55" s="11">
        <v>563099</v>
      </c>
      <c r="F55" s="11">
        <v>578060</v>
      </c>
      <c r="G55" s="11">
        <v>598256</v>
      </c>
      <c r="H55" s="11">
        <v>615618</v>
      </c>
      <c r="I55" s="11">
        <v>639621</v>
      </c>
      <c r="J55" s="11">
        <v>670203</v>
      </c>
      <c r="K55" s="11">
        <v>689635</v>
      </c>
      <c r="L55" s="11">
        <v>697959</v>
      </c>
      <c r="M55" s="11">
        <v>707242</v>
      </c>
      <c r="N55" s="11">
        <v>711228</v>
      </c>
      <c r="O55" s="11">
        <v>706407</v>
      </c>
      <c r="P55" s="11">
        <v>699136</v>
      </c>
      <c r="Q55" s="11">
        <v>693371</v>
      </c>
      <c r="R55" s="11">
        <v>688672</v>
      </c>
      <c r="S55" s="11">
        <v>686841</v>
      </c>
      <c r="T55" s="11">
        <f>'Poblacion INE'!B46</f>
        <v>687391</v>
      </c>
      <c r="U55" s="11">
        <v>694844</v>
      </c>
      <c r="V55" s="11">
        <v>703772</v>
      </c>
      <c r="W55" s="11">
        <v>709403</v>
      </c>
    </row>
    <row r="56" spans="2:23" ht="20.100000000000001" customHeight="1" thickBot="1" x14ac:dyDescent="0.25">
      <c r="B56" s="9" t="s">
        <v>74</v>
      </c>
      <c r="C56" s="11">
        <v>2227170</v>
      </c>
      <c r="D56" s="11">
        <v>2267503</v>
      </c>
      <c r="E56" s="11">
        <v>2320297</v>
      </c>
      <c r="F56" s="11">
        <v>2358919</v>
      </c>
      <c r="G56" s="11">
        <v>2416628</v>
      </c>
      <c r="H56" s="11">
        <v>2463592</v>
      </c>
      <c r="I56" s="11">
        <v>2486483</v>
      </c>
      <c r="J56" s="11">
        <v>2543209</v>
      </c>
      <c r="K56" s="11">
        <v>2575362</v>
      </c>
      <c r="L56" s="11">
        <v>2581147</v>
      </c>
      <c r="M56" s="11">
        <v>2578719</v>
      </c>
      <c r="N56" s="11">
        <v>2580792</v>
      </c>
      <c r="O56" s="11">
        <v>2566474</v>
      </c>
      <c r="P56" s="11">
        <v>2548898</v>
      </c>
      <c r="Q56" s="11">
        <v>2543315</v>
      </c>
      <c r="R56" s="11">
        <v>2544264</v>
      </c>
      <c r="S56" s="11">
        <v>2540707</v>
      </c>
      <c r="T56" s="11">
        <f>'Poblacion INE'!B47</f>
        <v>2547986</v>
      </c>
      <c r="U56" s="11">
        <v>2565124</v>
      </c>
      <c r="V56" s="11">
        <v>2591875</v>
      </c>
      <c r="W56" s="11">
        <v>2589312</v>
      </c>
    </row>
    <row r="57" spans="2:23" ht="20.100000000000001" customHeight="1" thickBot="1" x14ac:dyDescent="0.25">
      <c r="B57" s="9" t="s">
        <v>75</v>
      </c>
      <c r="C57" s="11">
        <v>497961</v>
      </c>
      <c r="D57" s="11">
        <v>501157</v>
      </c>
      <c r="E57" s="11">
        <v>506302</v>
      </c>
      <c r="F57" s="11">
        <v>510863</v>
      </c>
      <c r="G57" s="11">
        <v>514674</v>
      </c>
      <c r="H57" s="11">
        <v>519249</v>
      </c>
      <c r="I57" s="11">
        <v>521661</v>
      </c>
      <c r="J57" s="11">
        <v>529019</v>
      </c>
      <c r="K57" s="11">
        <v>532575</v>
      </c>
      <c r="L57" s="11">
        <v>533640</v>
      </c>
      <c r="M57" s="11">
        <v>534874</v>
      </c>
      <c r="N57" s="11">
        <v>534280</v>
      </c>
      <c r="O57" s="11">
        <v>532284</v>
      </c>
      <c r="P57" s="11">
        <v>529157</v>
      </c>
      <c r="Q57" s="11">
        <v>526288</v>
      </c>
      <c r="R57" s="11">
        <v>523679</v>
      </c>
      <c r="S57" s="11">
        <v>521130</v>
      </c>
      <c r="T57" s="11">
        <f>'Poblacion INE'!B48</f>
        <v>519851</v>
      </c>
      <c r="U57" s="11">
        <v>519546</v>
      </c>
      <c r="V57" s="11">
        <v>520649</v>
      </c>
      <c r="W57" s="11">
        <v>519361</v>
      </c>
    </row>
    <row r="58" spans="2:23" ht="20.100000000000001" customHeight="1" thickBot="1" x14ac:dyDescent="0.25">
      <c r="B58" s="9" t="s">
        <v>76</v>
      </c>
      <c r="C58" s="11">
        <v>202356</v>
      </c>
      <c r="D58" s="11">
        <v>200678</v>
      </c>
      <c r="E58" s="11">
        <v>199688</v>
      </c>
      <c r="F58" s="11">
        <v>198524</v>
      </c>
      <c r="G58" s="11">
        <v>198045</v>
      </c>
      <c r="H58" s="11">
        <v>197492</v>
      </c>
      <c r="I58" s="11">
        <v>197237</v>
      </c>
      <c r="J58" s="11">
        <v>197221</v>
      </c>
      <c r="K58" s="11">
        <v>195665</v>
      </c>
      <c r="L58" s="11">
        <v>194214</v>
      </c>
      <c r="M58" s="11">
        <v>193383</v>
      </c>
      <c r="N58" s="11">
        <v>191612</v>
      </c>
      <c r="O58" s="11">
        <v>188270</v>
      </c>
      <c r="P58" s="11">
        <v>185432</v>
      </c>
      <c r="Q58" s="11">
        <v>183436</v>
      </c>
      <c r="R58" s="11">
        <v>180406</v>
      </c>
      <c r="S58" s="11">
        <v>177404</v>
      </c>
      <c r="T58" s="11">
        <f>'Poblacion INE'!B50</f>
        <v>174549</v>
      </c>
      <c r="U58" s="11">
        <v>172539</v>
      </c>
      <c r="V58" s="11">
        <v>170588</v>
      </c>
      <c r="W58" s="11">
        <v>168725</v>
      </c>
    </row>
    <row r="59" spans="2:23" ht="20.100000000000001" customHeight="1" thickBot="1" x14ac:dyDescent="0.25">
      <c r="B59" s="9" t="s">
        <v>77</v>
      </c>
      <c r="C59" s="11">
        <v>857565</v>
      </c>
      <c r="D59" s="11">
        <v>871209</v>
      </c>
      <c r="E59" s="11">
        <v>880118</v>
      </c>
      <c r="F59" s="11">
        <v>897350</v>
      </c>
      <c r="G59" s="11">
        <v>912072</v>
      </c>
      <c r="H59" s="11">
        <v>917288</v>
      </c>
      <c r="I59" s="11">
        <v>932502</v>
      </c>
      <c r="J59" s="11">
        <v>955323</v>
      </c>
      <c r="K59" s="11">
        <v>970313</v>
      </c>
      <c r="L59" s="11">
        <v>973252</v>
      </c>
      <c r="M59" s="11">
        <v>973325</v>
      </c>
      <c r="N59" s="11">
        <v>978130</v>
      </c>
      <c r="O59" s="11">
        <v>978638</v>
      </c>
      <c r="P59" s="11">
        <v>960111</v>
      </c>
      <c r="Q59" s="11">
        <v>956006</v>
      </c>
      <c r="R59" s="11">
        <v>950507</v>
      </c>
      <c r="S59" s="11">
        <v>953486</v>
      </c>
      <c r="T59" s="11">
        <f>'Poblacion INE'!B51</f>
        <v>954811</v>
      </c>
      <c r="U59" s="11">
        <v>964693</v>
      </c>
      <c r="V59" s="11">
        <v>972528</v>
      </c>
      <c r="W59" s="11">
        <v>967452</v>
      </c>
    </row>
    <row r="60" spans="2:23" ht="20.100000000000001" customHeight="1" thickBot="1" x14ac:dyDescent="0.25">
      <c r="B60" s="9" t="s">
        <v>78</v>
      </c>
      <c r="C60" s="11">
        <v>75694</v>
      </c>
      <c r="D60" s="11">
        <v>76152</v>
      </c>
      <c r="E60" s="11">
        <v>74931</v>
      </c>
      <c r="F60" s="11">
        <v>74654</v>
      </c>
      <c r="G60" s="11">
        <v>75276</v>
      </c>
      <c r="H60" s="11">
        <v>75861</v>
      </c>
      <c r="I60" s="11">
        <v>76603</v>
      </c>
      <c r="J60" s="11">
        <v>77389</v>
      </c>
      <c r="K60" s="11">
        <v>78674</v>
      </c>
      <c r="L60" s="11">
        <v>80579</v>
      </c>
      <c r="M60" s="11">
        <v>82376</v>
      </c>
      <c r="N60" s="11">
        <v>84018</v>
      </c>
      <c r="O60" s="11">
        <v>84180</v>
      </c>
      <c r="P60" s="11">
        <v>84963</v>
      </c>
      <c r="Q60" s="11">
        <v>84263</v>
      </c>
      <c r="R60" s="11">
        <v>84519</v>
      </c>
      <c r="S60" s="11">
        <v>84959</v>
      </c>
      <c r="T60" s="11">
        <f>'Poblacion INE'!B52</f>
        <v>85144</v>
      </c>
      <c r="U60" s="11">
        <v>84777</v>
      </c>
      <c r="V60" s="11">
        <v>84202</v>
      </c>
      <c r="W60" s="11">
        <v>83517</v>
      </c>
    </row>
    <row r="61" spans="2:23" ht="20.100000000000001" customHeight="1" thickBot="1" x14ac:dyDescent="0.25">
      <c r="B61" s="9" t="s">
        <v>79</v>
      </c>
      <c r="C61" s="11">
        <v>68789</v>
      </c>
      <c r="D61" s="11">
        <v>69184</v>
      </c>
      <c r="E61" s="11">
        <v>68463</v>
      </c>
      <c r="F61" s="11">
        <v>68016</v>
      </c>
      <c r="G61" s="11">
        <v>65488</v>
      </c>
      <c r="H61" s="11">
        <v>66871</v>
      </c>
      <c r="I61" s="11">
        <v>69440</v>
      </c>
      <c r="J61" s="11">
        <v>71448</v>
      </c>
      <c r="K61" s="11">
        <v>73460</v>
      </c>
      <c r="L61" s="11">
        <v>76034</v>
      </c>
      <c r="M61" s="11">
        <v>78476</v>
      </c>
      <c r="N61" s="11">
        <v>80802</v>
      </c>
      <c r="O61" s="11">
        <v>83679</v>
      </c>
      <c r="P61" s="11">
        <v>84509</v>
      </c>
      <c r="Q61" s="11">
        <v>85584</v>
      </c>
      <c r="R61" s="11">
        <v>86026</v>
      </c>
      <c r="S61" s="11">
        <v>86120</v>
      </c>
      <c r="T61" s="11">
        <f>'Poblacion INE'!B53</f>
        <v>86384</v>
      </c>
      <c r="U61" s="11">
        <v>86487</v>
      </c>
      <c r="V61" s="11">
        <v>87076</v>
      </c>
      <c r="W61" s="11">
        <v>86261</v>
      </c>
    </row>
    <row r="62" spans="2:23" ht="20.100000000000001" customHeight="1" thickBot="1" x14ac:dyDescent="0.25">
      <c r="B62" s="12" t="s">
        <v>6</v>
      </c>
      <c r="C62" s="13">
        <v>41116842</v>
      </c>
      <c r="D62" s="13">
        <v>41837894</v>
      </c>
      <c r="E62" s="13">
        <v>42717064</v>
      </c>
      <c r="F62" s="13">
        <v>43197684</v>
      </c>
      <c r="G62" s="13">
        <v>44108530</v>
      </c>
      <c r="H62" s="13">
        <v>44708964</v>
      </c>
      <c r="I62" s="13">
        <v>45200737</v>
      </c>
      <c r="J62" s="13">
        <v>46157822</v>
      </c>
      <c r="K62" s="13">
        <v>46745807</v>
      </c>
      <c r="L62" s="13">
        <v>47021031</v>
      </c>
      <c r="M62" s="13">
        <v>47190493</v>
      </c>
      <c r="N62" s="13">
        <v>47265321</v>
      </c>
      <c r="O62" s="13">
        <v>47129783</v>
      </c>
      <c r="P62" s="13">
        <v>46771341</v>
      </c>
      <c r="Q62" s="13">
        <v>46624382</v>
      </c>
      <c r="R62" s="13">
        <v>46557008</v>
      </c>
      <c r="S62" s="13">
        <v>46572132</v>
      </c>
      <c r="T62" s="13">
        <f>SUM(T10:T61)</f>
        <v>46722980</v>
      </c>
      <c r="U62" s="13">
        <f>SUM(U10:U61)</f>
        <v>47026208</v>
      </c>
      <c r="V62" s="13">
        <f>SUM(V10:V61)</f>
        <v>47450795</v>
      </c>
      <c r="W62" s="13">
        <f>SUM(W10:W61)</f>
        <v>47385107</v>
      </c>
    </row>
  </sheetData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X66"/>
  <sheetViews>
    <sheetView workbookViewId="0"/>
  </sheetViews>
  <sheetFormatPr baseColWidth="10" defaultColWidth="11.42578125" defaultRowHeight="12.75" x14ac:dyDescent="0.2"/>
  <cols>
    <col min="1" max="1" width="8.5703125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1.42578125" style="1"/>
  </cols>
  <sheetData>
    <row r="1" spans="1:24" ht="15" thickBot="1" x14ac:dyDescent="0.25">
      <c r="A1" s="14"/>
    </row>
    <row r="12" spans="1:24" ht="18.75" thickBot="1" x14ac:dyDescent="0.3">
      <c r="D12" s="2"/>
    </row>
    <row r="13" spans="1:24" ht="20.100000000000001" customHeight="1" thickBot="1" x14ac:dyDescent="0.25">
      <c r="B13" s="10"/>
      <c r="C13" s="10">
        <v>2001</v>
      </c>
      <c r="D13" s="10">
        <v>2002</v>
      </c>
      <c r="E13" s="10">
        <v>2003</v>
      </c>
      <c r="F13" s="10">
        <v>2004</v>
      </c>
      <c r="G13" s="10">
        <v>2005</v>
      </c>
      <c r="H13" s="10">
        <v>2006</v>
      </c>
      <c r="I13" s="10">
        <v>2007</v>
      </c>
      <c r="J13" s="10">
        <v>2008</v>
      </c>
      <c r="K13" s="10">
        <v>2009</v>
      </c>
      <c r="L13" s="10">
        <v>2010</v>
      </c>
      <c r="M13" s="10">
        <v>2011</v>
      </c>
      <c r="N13" s="10">
        <v>2012</v>
      </c>
      <c r="O13" s="10">
        <v>2013</v>
      </c>
      <c r="P13" s="10">
        <v>2014</v>
      </c>
      <c r="Q13" s="10">
        <v>2015</v>
      </c>
      <c r="R13" s="10">
        <v>2016</v>
      </c>
      <c r="S13" s="10">
        <v>2017</v>
      </c>
      <c r="T13" s="10">
        <v>2018</v>
      </c>
      <c r="U13" s="10">
        <v>2019</v>
      </c>
      <c r="V13" s="10">
        <v>2020</v>
      </c>
      <c r="W13" s="10">
        <v>2021</v>
      </c>
      <c r="X13" s="10">
        <v>2022</v>
      </c>
    </row>
    <row r="14" spans="1:24" ht="20.100000000000001" customHeight="1" thickBot="1" x14ac:dyDescent="0.25">
      <c r="B14" s="9" t="s">
        <v>31</v>
      </c>
      <c r="C14" s="14">
        <f>'2001'!$D10</f>
        <v>17.610398521031467</v>
      </c>
      <c r="D14" s="14">
        <f>'2002'!$D10</f>
        <v>20.460640097690344</v>
      </c>
      <c r="E14" s="14">
        <f>'2003'!$D10</f>
        <v>22.740309542272598</v>
      </c>
      <c r="F14" s="14">
        <f>'2004'!$D10</f>
        <v>23.088802681790391</v>
      </c>
      <c r="G14" s="14">
        <f>'2005'!$D10</f>
        <v>24.201851081530783</v>
      </c>
      <c r="H14" s="14">
        <f>'2006'!$D10</f>
        <v>27.170856786136234</v>
      </c>
      <c r="I14" s="14">
        <f>'2007'!$D10</f>
        <v>24.9394302619163</v>
      </c>
      <c r="J14" s="14">
        <f>'2008'!$D10</f>
        <v>29.998012543617122</v>
      </c>
      <c r="K14" s="14">
        <f>'2009'!$D10</f>
        <v>38.037770865397327</v>
      </c>
      <c r="L14" s="14">
        <f>'2010'!$D10</f>
        <v>35.941366553641934</v>
      </c>
      <c r="M14" s="14">
        <f>'2011'!$D10</f>
        <v>36.374211444678089</v>
      </c>
      <c r="N14" s="14">
        <f>'2012'!$D10</f>
        <v>38.814706692781449</v>
      </c>
      <c r="O14" s="14">
        <f>'2013'!$D10</f>
        <v>34.65689350436368</v>
      </c>
      <c r="P14" s="14">
        <f>'2014'!$D10</f>
        <v>41.258277978875888</v>
      </c>
      <c r="Q14" s="14">
        <f>'2015'!$D10</f>
        <v>47.769780526129047</v>
      </c>
      <c r="R14" s="14">
        <f>'2016'!$D10</f>
        <v>37.343350726056954</v>
      </c>
      <c r="S14" s="14">
        <f>'2017'!$D10</f>
        <v>39.724945645485498</v>
      </c>
      <c r="T14" s="14">
        <f>'2018'!$D10</f>
        <v>41.467542555544696</v>
      </c>
      <c r="U14" s="14">
        <f>'2019'!$D10</f>
        <v>45.86170385426891</v>
      </c>
      <c r="V14" s="14">
        <f>'2020'!$D10</f>
        <v>42.248950472609266</v>
      </c>
      <c r="W14" s="14">
        <f>'2021'!$D10</f>
        <v>46.878881344704808</v>
      </c>
      <c r="X14" s="14">
        <f>'2022'!$D10</f>
        <v>49.186987662498964</v>
      </c>
    </row>
    <row r="15" spans="1:24" ht="20.100000000000001" customHeight="1" thickBot="1" x14ac:dyDescent="0.25">
      <c r="B15" s="9" t="s">
        <v>32</v>
      </c>
      <c r="C15" s="14">
        <f>'2001'!$D11</f>
        <v>20.081663328334223</v>
      </c>
      <c r="D15" s="14">
        <f>'2002'!$D11</f>
        <v>25.278439608515708</v>
      </c>
      <c r="E15" s="14">
        <f>'2003'!$D11</f>
        <v>27.255200940485157</v>
      </c>
      <c r="F15" s="14">
        <f>'2004'!$D11</f>
        <v>29.400617969391202</v>
      </c>
      <c r="G15" s="14">
        <f>'2005'!$D11</f>
        <v>31.712277092500589</v>
      </c>
      <c r="H15" s="14">
        <f>'2006'!$D11</f>
        <v>32.389805753116669</v>
      </c>
      <c r="I15" s="14">
        <f>'2007'!$D11</f>
        <v>32.712528160309958</v>
      </c>
      <c r="J15" s="14">
        <f>'2008'!$D11</f>
        <v>39.203225838855033</v>
      </c>
      <c r="K15" s="14">
        <f>'2009'!$D11</f>
        <v>47.762872637208318</v>
      </c>
      <c r="L15" s="14">
        <f>'2010'!$D11</f>
        <v>48.543699400659818</v>
      </c>
      <c r="M15" s="14">
        <f>'2011'!$D11</f>
        <v>41.568107988772198</v>
      </c>
      <c r="N15" s="14">
        <f>'2012'!$D11</f>
        <v>42.727801184211202</v>
      </c>
      <c r="O15" s="14">
        <f>'2013'!$D11</f>
        <v>38.049651477507169</v>
      </c>
      <c r="P15" s="14">
        <f>'2014'!$D11</f>
        <v>41.790522350755019</v>
      </c>
      <c r="Q15" s="14">
        <f>'2015'!$D11</f>
        <v>44.986461259472129</v>
      </c>
      <c r="R15" s="14">
        <f>'2016'!$D11</f>
        <v>43.040438147543725</v>
      </c>
      <c r="S15" s="14">
        <f>'2017'!$D11</f>
        <v>44.720631643996818</v>
      </c>
      <c r="T15" s="14">
        <f>'2018'!$D11</f>
        <v>48.283708184437948</v>
      </c>
      <c r="U15" s="14">
        <f>'2019'!$D11</f>
        <v>51.641404155523027</v>
      </c>
      <c r="V15" s="14">
        <f>'2020'!$D11</f>
        <v>49.50294911186198</v>
      </c>
      <c r="W15" s="14">
        <f>'2021'!$D11</f>
        <v>56.315835902733717</v>
      </c>
      <c r="X15" s="14">
        <f>'2022'!$D11</f>
        <v>61.675174650141734</v>
      </c>
    </row>
    <row r="16" spans="1:24" ht="20.100000000000001" customHeight="1" thickBot="1" x14ac:dyDescent="0.25">
      <c r="B16" s="9" t="s">
        <v>33</v>
      </c>
      <c r="C16" s="14">
        <f>'2001'!$D12</f>
        <v>18.210020106232932</v>
      </c>
      <c r="D16" s="14">
        <f>'2002'!$D12</f>
        <v>20.962565279287389</v>
      </c>
      <c r="E16" s="14">
        <f>'2003'!$D12</f>
        <v>24.21680140100122</v>
      </c>
      <c r="F16" s="14">
        <f>'2004'!$D12</f>
        <v>25.622460466455315</v>
      </c>
      <c r="G16" s="14">
        <f>'2005'!$D12</f>
        <v>26.256093677273952</v>
      </c>
      <c r="H16" s="14">
        <f>'2006'!$D12</f>
        <v>28.574349296217662</v>
      </c>
      <c r="I16" s="14">
        <f>'2007'!$D12</f>
        <v>30.929445295863342</v>
      </c>
      <c r="J16" s="14">
        <f>'2008'!$D12</f>
        <v>40.931047653283606</v>
      </c>
      <c r="K16" s="14">
        <f>'2009'!$D12</f>
        <v>50.26401685499966</v>
      </c>
      <c r="L16" s="14">
        <f>'2010'!$D12</f>
        <v>50.188337454712745</v>
      </c>
      <c r="M16" s="14">
        <f>'2011'!$D12</f>
        <v>46.390322401642528</v>
      </c>
      <c r="N16" s="14">
        <f>'2012'!$D12</f>
        <v>47.290686561992793</v>
      </c>
      <c r="O16" s="14">
        <f>'2013'!$D12</f>
        <v>39.728082204513186</v>
      </c>
      <c r="P16" s="14">
        <f>'2014'!$D12</f>
        <v>40.385470465506039</v>
      </c>
      <c r="Q16" s="14">
        <f>'2015'!$D12</f>
        <v>44.018134341874273</v>
      </c>
      <c r="R16" s="14">
        <f>'2016'!$D12</f>
        <v>39.564274730688901</v>
      </c>
      <c r="S16" s="14">
        <f>'2017'!$D12</f>
        <v>43.969479475626599</v>
      </c>
      <c r="T16" s="14">
        <f>'2018'!$D12</f>
        <v>48.010826965911974</v>
      </c>
      <c r="U16" s="14">
        <f>'2019'!$D12</f>
        <v>47.894869004771074</v>
      </c>
      <c r="V16" s="14">
        <f>'2020'!$D12</f>
        <v>45.120167045587237</v>
      </c>
      <c r="W16" s="14">
        <f>'2021'!$D12</f>
        <v>51.248168878588451</v>
      </c>
      <c r="X16" s="14">
        <f>'2022'!$D12</f>
        <v>55.477512735859371</v>
      </c>
    </row>
    <row r="17" spans="2:24" ht="20.100000000000001" customHeight="1" thickBot="1" x14ac:dyDescent="0.25">
      <c r="B17" s="9" t="s">
        <v>34</v>
      </c>
      <c r="C17" s="14">
        <f>'2001'!$D13</f>
        <v>8.341614928339677</v>
      </c>
      <c r="D17" s="14">
        <f>'2002'!$D13</f>
        <v>24.145138079901322</v>
      </c>
      <c r="E17" s="14">
        <f>'2003'!$D13</f>
        <v>25.400869683380893</v>
      </c>
      <c r="F17" s="14">
        <f>'2004'!$D13</f>
        <v>26.927561210523645</v>
      </c>
      <c r="G17" s="14">
        <f>'2005'!$D13</f>
        <v>28.917478171871302</v>
      </c>
      <c r="H17" s="14">
        <f>'2006'!$D13</f>
        <v>27.546484900273576</v>
      </c>
      <c r="I17" s="14">
        <f>'2007'!$D13</f>
        <v>31.375732913418823</v>
      </c>
      <c r="J17" s="14">
        <f>'2008'!$D13</f>
        <v>34.598801815040289</v>
      </c>
      <c r="K17" s="14">
        <f>'2009'!$D13</f>
        <v>35.166768105181646</v>
      </c>
      <c r="L17" s="14">
        <f>'2010'!$D13</f>
        <v>36.001033552648167</v>
      </c>
      <c r="M17" s="14">
        <f>'2011'!$D13</f>
        <v>35.538973833666951</v>
      </c>
      <c r="N17" s="14">
        <f>'2012'!$D13</f>
        <v>40.402161478436376</v>
      </c>
      <c r="O17" s="14">
        <f>'2013'!$D13</f>
        <v>36.528870594896972</v>
      </c>
      <c r="P17" s="14">
        <f>'2014'!$D13</f>
        <v>37.61663953878459</v>
      </c>
      <c r="Q17" s="14">
        <f>'2015'!$D13</f>
        <v>38.928094720189833</v>
      </c>
      <c r="R17" s="14">
        <f>'2016'!$D13</f>
        <v>34.862985382227905</v>
      </c>
      <c r="S17" s="14">
        <f>'2017'!$D13</f>
        <v>36.938029359348874</v>
      </c>
      <c r="T17" s="14">
        <f>'2018'!$D13</f>
        <v>43.731831616332386</v>
      </c>
      <c r="U17" s="14">
        <f>'2019'!$D13</f>
        <v>46.385300513649568</v>
      </c>
      <c r="V17" s="14">
        <f>'2020'!$D13</f>
        <v>39.336407737916986</v>
      </c>
      <c r="W17" s="14">
        <f>'2021'!$D13</f>
        <v>52.33405070348234</v>
      </c>
      <c r="X17" s="14">
        <f>'2022'!$D13</f>
        <v>55.160569020400089</v>
      </c>
    </row>
    <row r="18" spans="2:24" ht="20.100000000000001" customHeight="1" thickBot="1" x14ac:dyDescent="0.25">
      <c r="B18" s="9" t="s">
        <v>35</v>
      </c>
      <c r="C18" s="14">
        <f>'2001'!$D14</f>
        <v>25.010020189170014</v>
      </c>
      <c r="D18" s="14">
        <f>'2002'!$D14</f>
        <v>27.307999936683576</v>
      </c>
      <c r="E18" s="14">
        <f>'2003'!$D14</f>
        <v>29.498382433760685</v>
      </c>
      <c r="F18" s="14">
        <f>'2004'!$D14</f>
        <v>30.802012738402681</v>
      </c>
      <c r="G18" s="14">
        <f>'2005'!$D14</f>
        <v>34.512160574382214</v>
      </c>
      <c r="H18" s="14">
        <f>'2006'!$D14</f>
        <v>35.326531067066831</v>
      </c>
      <c r="I18" s="14">
        <f>'2007'!$D14</f>
        <v>36.753555340127384</v>
      </c>
      <c r="J18" s="14">
        <f>'2008'!$D14</f>
        <v>37.330415187688985</v>
      </c>
      <c r="K18" s="14">
        <f>'2009'!$D14</f>
        <v>42.720418248042684</v>
      </c>
      <c r="L18" s="14">
        <f>'2010'!$D14</f>
        <v>44.026740665528649</v>
      </c>
      <c r="M18" s="14">
        <f>'2011'!$D14</f>
        <v>43.311662553502721</v>
      </c>
      <c r="N18" s="14">
        <f>'2012'!$D14</f>
        <v>46.714190242815768</v>
      </c>
      <c r="O18" s="14">
        <f>'2013'!$D14</f>
        <v>43.674900413325652</v>
      </c>
      <c r="P18" s="14">
        <f>'2014'!$D14</f>
        <v>51.536322846303669</v>
      </c>
      <c r="Q18" s="14">
        <f>'2015'!$D14</f>
        <v>54.01201831380223</v>
      </c>
      <c r="R18" s="14">
        <f>'2016'!$D14</f>
        <v>45.038979175298863</v>
      </c>
      <c r="S18" s="14">
        <f>'2017'!$D14</f>
        <v>51.27637783102729</v>
      </c>
      <c r="T18" s="14">
        <f>'2018'!$D14</f>
        <v>61.363839711196952</v>
      </c>
      <c r="U18" s="14">
        <f>'2019'!$D14</f>
        <v>63.039694955025425</v>
      </c>
      <c r="V18" s="14">
        <f>'2020'!$D14</f>
        <v>55.006753148851963</v>
      </c>
      <c r="W18" s="14">
        <f>'2021'!$D14</f>
        <v>61.443458734601577</v>
      </c>
      <c r="X18" s="14">
        <f>'2022'!$D14</f>
        <v>67.088887834653761</v>
      </c>
    </row>
    <row r="19" spans="2:24" ht="20.100000000000001" customHeight="1" thickBot="1" x14ac:dyDescent="0.25">
      <c r="B19" s="9" t="s">
        <v>36</v>
      </c>
      <c r="C19" s="14">
        <f>'2001'!$D15</f>
        <v>16.413948805564875</v>
      </c>
      <c r="D19" s="14">
        <f>'2002'!$D15</f>
        <v>17.518681345299083</v>
      </c>
      <c r="E19" s="14">
        <f>'2003'!$D15</f>
        <v>20.099105632100557</v>
      </c>
      <c r="F19" s="14">
        <f>'2004'!$D15</f>
        <v>21.805090663905414</v>
      </c>
      <c r="G19" s="14">
        <f>'2005'!$D15</f>
        <v>22.618420422434024</v>
      </c>
      <c r="H19" s="14">
        <f>'2006'!$D15</f>
        <v>25.593202159482299</v>
      </c>
      <c r="I19" s="14">
        <f>'2007'!$D15</f>
        <v>25.118893725020456</v>
      </c>
      <c r="J19" s="14">
        <f>'2008'!$D15</f>
        <v>30.014841544684689</v>
      </c>
      <c r="K19" s="14">
        <f>'2009'!$D15</f>
        <v>33.451770736253494</v>
      </c>
      <c r="L19" s="14">
        <f>'2010'!$D15</f>
        <v>33.846046446688696</v>
      </c>
      <c r="M19" s="14">
        <f>'2011'!$D15</f>
        <v>31.608995738373167</v>
      </c>
      <c r="N19" s="14">
        <f>'2012'!$D15</f>
        <v>32.219075701398417</v>
      </c>
      <c r="O19" s="14">
        <f>'2013'!$D15</f>
        <v>32.43003109729009</v>
      </c>
      <c r="P19" s="14">
        <f>'2014'!$D15</f>
        <v>37.104451695955454</v>
      </c>
      <c r="Q19" s="14">
        <f>'2015'!$D15</f>
        <v>55.673791117174474</v>
      </c>
      <c r="R19" s="14">
        <f>'2016'!$D15</f>
        <v>43.276271582755946</v>
      </c>
      <c r="S19" s="14">
        <f>'2017'!$D15</f>
        <v>40.006222775357806</v>
      </c>
      <c r="T19" s="14">
        <f>'2018'!$D15</f>
        <v>43.306540145616978</v>
      </c>
      <c r="U19" s="14">
        <f>'2019'!$D15</f>
        <v>41.112661760974369</v>
      </c>
      <c r="V19" s="14">
        <f>'2020'!$D15</f>
        <v>34.74477369596103</v>
      </c>
      <c r="W19" s="14">
        <f>'2021'!$D15</f>
        <v>36.642869316567875</v>
      </c>
      <c r="X19" s="14">
        <f>'2022'!$D15</f>
        <v>39.439215760536797</v>
      </c>
    </row>
    <row r="20" spans="2:24" ht="20.100000000000001" customHeight="1" thickBot="1" x14ac:dyDescent="0.25">
      <c r="B20" s="9" t="s">
        <v>37</v>
      </c>
      <c r="C20" s="14">
        <f>'2001'!$D16</f>
        <v>22.288261515601782</v>
      </c>
      <c r="D20" s="14">
        <f>'2002'!$D16</f>
        <v>18.216436735826967</v>
      </c>
      <c r="E20" s="14">
        <f>'2003'!$D16</f>
        <v>21.538373380060378</v>
      </c>
      <c r="F20" s="14">
        <f>'2004'!$D16</f>
        <v>22.580343909286995</v>
      </c>
      <c r="G20" s="14">
        <f>'2005'!$D16</f>
        <v>24.573252753244081</v>
      </c>
      <c r="H20" s="14">
        <f>'2006'!$D16</f>
        <v>25.545158387703164</v>
      </c>
      <c r="I20" s="14">
        <f>'2007'!$D16</f>
        <v>25.435582695490812</v>
      </c>
      <c r="J20" s="14">
        <f>'2008'!$D16</f>
        <v>28.41899113602998</v>
      </c>
      <c r="K20" s="14">
        <f>'2009'!$D16</f>
        <v>35.992781408206135</v>
      </c>
      <c r="L20" s="14">
        <f>'2010'!$D16</f>
        <v>34.130526181955304</v>
      </c>
      <c r="M20" s="14">
        <f>'2011'!$D16</f>
        <v>31.427208572733782</v>
      </c>
      <c r="N20" s="14">
        <f>'2012'!$D16</f>
        <v>32.655035829830979</v>
      </c>
      <c r="O20" s="14">
        <f>'2013'!$D16</f>
        <v>31.032290707178163</v>
      </c>
      <c r="P20" s="14">
        <f>'2014'!$D16</f>
        <v>33.774816225690344</v>
      </c>
      <c r="Q20" s="14">
        <f>'2015'!$D16</f>
        <v>35.36761172513215</v>
      </c>
      <c r="R20" s="14">
        <f>'2016'!$D16</f>
        <v>33.595327087776433</v>
      </c>
      <c r="S20" s="14">
        <f>'2017'!$D16</f>
        <v>40.586335316024503</v>
      </c>
      <c r="T20" s="14">
        <f>'2018'!$D16</f>
        <v>43.212650951541747</v>
      </c>
      <c r="U20" s="14">
        <f>'2019'!$D16</f>
        <v>42.226441930105601</v>
      </c>
      <c r="V20" s="14">
        <f>'2020'!$D16</f>
        <v>40.014163779110511</v>
      </c>
      <c r="W20" s="14">
        <f>'2021'!$D16</f>
        <v>45.862110657175315</v>
      </c>
      <c r="X20" s="14">
        <f>'2022'!$D16</f>
        <v>50.00873208616256</v>
      </c>
    </row>
    <row r="21" spans="2:24" ht="20.100000000000001" customHeight="1" thickBot="1" x14ac:dyDescent="0.25">
      <c r="B21" s="9" t="s">
        <v>29</v>
      </c>
      <c r="C21" s="14">
        <f>'2001'!$D17</f>
        <v>13.819288503540182</v>
      </c>
      <c r="D21" s="14">
        <f>'2002'!$D17</f>
        <v>30.858219697961108</v>
      </c>
      <c r="E21" s="14">
        <f>'2003'!$D17</f>
        <v>33.298816396283996</v>
      </c>
      <c r="F21" s="14">
        <f>'2004'!$D17</f>
        <v>35.254883277751311</v>
      </c>
      <c r="G21" s="14">
        <f>'2005'!$D17</f>
        <v>34.860054255231496</v>
      </c>
      <c r="H21" s="14">
        <f>'2006'!$D17</f>
        <v>37.325360467183849</v>
      </c>
      <c r="I21" s="14">
        <f>'2007'!$D17</f>
        <v>36.015136079173338</v>
      </c>
      <c r="J21" s="14">
        <f>'2008'!$D17</f>
        <v>39.719661013157555</v>
      </c>
      <c r="K21" s="14">
        <f>'2009'!$D17</f>
        <v>47.470116648682797</v>
      </c>
      <c r="L21" s="14">
        <f>'2010'!$D17</f>
        <v>48.655168080256843</v>
      </c>
      <c r="M21" s="14">
        <f>'2011'!$D17</f>
        <v>45.386186859566948</v>
      </c>
      <c r="N21" s="14">
        <f>'2012'!$D17</f>
        <v>46.70196410880807</v>
      </c>
      <c r="O21" s="14">
        <f>'2013'!$D17</f>
        <v>42.075284660790842</v>
      </c>
      <c r="P21" s="14">
        <f>'2014'!$D17</f>
        <v>45.364414260106102</v>
      </c>
      <c r="Q21" s="14">
        <f>'2015'!$D17</f>
        <v>47.748304856860109</v>
      </c>
      <c r="R21" s="14">
        <f>'2016'!$D17</f>
        <v>43.454778634778989</v>
      </c>
      <c r="S21" s="14">
        <f>'2017'!$D17</f>
        <v>46.705238983189055</v>
      </c>
      <c r="T21" s="14">
        <f>'2018'!$D17</f>
        <v>52.687198602543347</v>
      </c>
      <c r="U21" s="14">
        <f>'2019'!$D17</f>
        <v>57.40782628364623</v>
      </c>
      <c r="V21" s="14">
        <f>'2020'!$D17</f>
        <v>51.00794422398495</v>
      </c>
      <c r="W21" s="14">
        <f>'2021'!$D17</f>
        <v>56.909245290739705</v>
      </c>
      <c r="X21" s="14">
        <f>'2022'!$D17</f>
        <v>62.150471267033133</v>
      </c>
    </row>
    <row r="22" spans="2:24" ht="20.100000000000001" customHeight="1" thickBot="1" x14ac:dyDescent="0.25">
      <c r="B22" s="9" t="s">
        <v>38</v>
      </c>
      <c r="C22" s="14">
        <f>'2001'!$D18</f>
        <v>15.204160341139314</v>
      </c>
      <c r="D22" s="14">
        <f>'2002'!$D18</f>
        <v>24.887706510056731</v>
      </c>
      <c r="E22" s="14">
        <f>'2003'!$D18</f>
        <v>27.394844622621008</v>
      </c>
      <c r="F22" s="14">
        <f>'2004'!$D18</f>
        <v>28.933827157116664</v>
      </c>
      <c r="G22" s="14">
        <f>'2005'!$D18</f>
        <v>30.41757217364151</v>
      </c>
      <c r="H22" s="14">
        <f>'2006'!$D18</f>
        <v>31.083149822465952</v>
      </c>
      <c r="I22" s="14">
        <f>'2007'!$D18</f>
        <v>33.053271506323568</v>
      </c>
      <c r="J22" s="14">
        <f>'2008'!$D18</f>
        <v>39.18048122690022</v>
      </c>
      <c r="K22" s="14">
        <f>'2009'!$D18</f>
        <v>44.11841612555542</v>
      </c>
      <c r="L22" s="14">
        <f>'2010'!$D18</f>
        <v>45.153758373710595</v>
      </c>
      <c r="M22" s="14">
        <f>'2011'!$D18</f>
        <v>40.494662873643612</v>
      </c>
      <c r="N22" s="14">
        <f>'2012'!$D18</f>
        <v>43.002854801379669</v>
      </c>
      <c r="O22" s="14">
        <f>'2013'!$D18</f>
        <v>38.872209964942677</v>
      </c>
      <c r="P22" s="14">
        <f>'2014'!$D18</f>
        <v>41.943892085570326</v>
      </c>
      <c r="Q22" s="14">
        <f>'2015'!$D18</f>
        <v>38.030768718312828</v>
      </c>
      <c r="R22" s="14">
        <f>'2016'!$D18</f>
        <v>38.796935778359931</v>
      </c>
      <c r="S22" s="14">
        <f>'2017'!$D18</f>
        <v>44.239663402520463</v>
      </c>
      <c r="T22" s="14">
        <f>'2018'!$D18</f>
        <v>47.54561580218742</v>
      </c>
      <c r="U22" s="14">
        <f>'2019'!$D18</f>
        <v>52.106431916652589</v>
      </c>
      <c r="V22" s="14">
        <f>'2020'!$D18</f>
        <v>44.133947092681304</v>
      </c>
      <c r="W22" s="14">
        <f>'2021'!$D18</f>
        <v>54.746943425148693</v>
      </c>
      <c r="X22" s="14">
        <f>'2022'!$D18</f>
        <v>62.395948714987412</v>
      </c>
    </row>
    <row r="23" spans="2:24" ht="20.100000000000001" customHeight="1" thickBot="1" x14ac:dyDescent="0.25">
      <c r="B23" s="9" t="s">
        <v>39</v>
      </c>
      <c r="C23" s="14">
        <f>'2001'!$D19</f>
        <v>12.20448942978026</v>
      </c>
      <c r="D23" s="14">
        <f>'2002'!$D19</f>
        <v>22.51985982545234</v>
      </c>
      <c r="E23" s="14">
        <f>'2003'!$D19</f>
        <v>23.226001122259198</v>
      </c>
      <c r="F23" s="14">
        <f>'2004'!$D19</f>
        <v>24.867128447355853</v>
      </c>
      <c r="G23" s="14">
        <f>'2005'!$D19</f>
        <v>27.567790695320554</v>
      </c>
      <c r="H23" s="14">
        <f>'2006'!$D19</f>
        <v>25.874162070354068</v>
      </c>
      <c r="I23" s="14">
        <f>'2007'!$D19</f>
        <v>29.25296353695321</v>
      </c>
      <c r="J23" s="14">
        <f>'2008'!$D19</f>
        <v>30.147738047366545</v>
      </c>
      <c r="K23" s="14">
        <f>'2009'!$D19</f>
        <v>33.224078607878489</v>
      </c>
      <c r="L23" s="14">
        <f>'2010'!$D19</f>
        <v>33.102371104354248</v>
      </c>
      <c r="M23" s="14">
        <f>'2011'!$D19</f>
        <v>33.165710884153619</v>
      </c>
      <c r="N23" s="14">
        <f>'2012'!$D19</f>
        <v>33.714334548474284</v>
      </c>
      <c r="O23" s="14">
        <f>'2013'!$D19</f>
        <v>31.811228703087995</v>
      </c>
      <c r="P23" s="14">
        <f>'2014'!$D19</f>
        <v>34.051419170851766</v>
      </c>
      <c r="Q23" s="14">
        <f>'2015'!$D19</f>
        <v>34.734390981697892</v>
      </c>
      <c r="R23" s="14">
        <f>'2016'!$D19</f>
        <v>34.063974847853217</v>
      </c>
      <c r="S23" s="14">
        <f>'2017'!$D19</f>
        <v>39.361596513809083</v>
      </c>
      <c r="T23" s="14">
        <f>'2018'!$D19</f>
        <v>43.030441151398541</v>
      </c>
      <c r="U23" s="14">
        <f>'2019'!$D19</f>
        <v>44.077522164124261</v>
      </c>
      <c r="V23" s="14">
        <f>'2020'!$D19</f>
        <v>38.746191058982632</v>
      </c>
      <c r="W23" s="14">
        <f>'2021'!$D19</f>
        <v>45.667891615424999</v>
      </c>
      <c r="X23" s="14">
        <f>'2022'!$D19</f>
        <v>46.794082128742637</v>
      </c>
    </row>
    <row r="24" spans="2:24" ht="20.100000000000001" customHeight="1" thickBot="1" x14ac:dyDescent="0.25">
      <c r="B24" s="9" t="s">
        <v>40</v>
      </c>
      <c r="C24" s="14">
        <f>'2001'!$D20</f>
        <v>35.865183957005236</v>
      </c>
      <c r="D24" s="14">
        <f>'2002'!$D20</f>
        <v>25.785106159791109</v>
      </c>
      <c r="E24" s="14">
        <f>'2003'!$D20</f>
        <v>28.439914978674288</v>
      </c>
      <c r="F24" s="14">
        <f>'2004'!$D20</f>
        <v>28.754029463832318</v>
      </c>
      <c r="G24" s="14">
        <f>'2005'!$D20</f>
        <v>28.937374834150919</v>
      </c>
      <c r="H24" s="14">
        <f>'2006'!$D20</f>
        <v>30.977756036430193</v>
      </c>
      <c r="I24" s="14">
        <f>'2007'!$D20</f>
        <v>32.22650913184615</v>
      </c>
      <c r="J24" s="14">
        <f>'2008'!$D20</f>
        <v>33.984349911152023</v>
      </c>
      <c r="K24" s="14">
        <f>'2009'!$D20</f>
        <v>42.92488876699781</v>
      </c>
      <c r="L24" s="14">
        <f>'2010'!$D20</f>
        <v>40.402746874549791</v>
      </c>
      <c r="M24" s="14">
        <f>'2011'!$D20</f>
        <v>38.812001373593468</v>
      </c>
      <c r="N24" s="14">
        <f>'2012'!$D20</f>
        <v>40.461903618956185</v>
      </c>
      <c r="O24" s="14">
        <f>'2013'!$D20</f>
        <v>41.061500668017068</v>
      </c>
      <c r="P24" s="14">
        <f>'2014'!$D20</f>
        <v>46.81384573453257</v>
      </c>
      <c r="Q24" s="14">
        <f>'2015'!$D20</f>
        <v>47.211279058906271</v>
      </c>
      <c r="R24" s="14">
        <f>'2016'!$D20</f>
        <v>40.742946578207459</v>
      </c>
      <c r="S24" s="14">
        <f>'2017'!$D20</f>
        <v>44.180014574044236</v>
      </c>
      <c r="T24" s="14">
        <f>'2018'!$D20</f>
        <v>48.808356904808576</v>
      </c>
      <c r="U24" s="14">
        <f>'2019'!$D20</f>
        <v>49.19066108617821</v>
      </c>
      <c r="V24" s="14">
        <f>'2020'!$D20</f>
        <v>42.460506081364464</v>
      </c>
      <c r="W24" s="14">
        <f>'2021'!$D20</f>
        <v>51.065144429933575</v>
      </c>
      <c r="X24" s="14">
        <f>'2022'!$D20</f>
        <v>49.893977054106806</v>
      </c>
    </row>
    <row r="25" spans="2:24" ht="20.100000000000001" customHeight="1" thickBot="1" x14ac:dyDescent="0.25">
      <c r="B25" s="9" t="s">
        <v>41</v>
      </c>
      <c r="C25" s="14">
        <f>'2001'!$D21</f>
        <v>16.029134993767265</v>
      </c>
      <c r="D25" s="14">
        <f>'2002'!$D21</f>
        <v>17.782187099321863</v>
      </c>
      <c r="E25" s="14">
        <f>'2003'!$D21</f>
        <v>20.60073716653439</v>
      </c>
      <c r="F25" s="14">
        <f>'2004'!$D21</f>
        <v>20.472058144339918</v>
      </c>
      <c r="G25" s="14">
        <f>'2005'!$D21</f>
        <v>21.113481021862427</v>
      </c>
      <c r="H25" s="14">
        <f>'2006'!$D21</f>
        <v>22.940234778965316</v>
      </c>
      <c r="I25" s="14">
        <f>'2007'!$D21</f>
        <v>23.939873302375762</v>
      </c>
      <c r="J25" s="14">
        <f>'2008'!$D21</f>
        <v>25.028000135758234</v>
      </c>
      <c r="K25" s="14">
        <f>'2009'!$D21</f>
        <v>30.207937954660288</v>
      </c>
      <c r="L25" s="14">
        <f>'2010'!$D21</f>
        <v>28.560552949651033</v>
      </c>
      <c r="M25" s="14">
        <f>'2011'!$D21</f>
        <v>26.573850753166475</v>
      </c>
      <c r="N25" s="14">
        <f>'2012'!$D21</f>
        <v>30.16462885369091</v>
      </c>
      <c r="O25" s="14">
        <f>'2013'!$D21</f>
        <v>30.306501736640058</v>
      </c>
      <c r="P25" s="14">
        <f>'2014'!$D21</f>
        <v>33.520673936819641</v>
      </c>
      <c r="Q25" s="14">
        <f>'2015'!$D21</f>
        <v>37.098755252087912</v>
      </c>
      <c r="R25" s="14">
        <f>'2016'!$D21</f>
        <v>37.09016139620725</v>
      </c>
      <c r="S25" s="14">
        <f>'2017'!$D21</f>
        <v>40.121389074983249</v>
      </c>
      <c r="T25" s="14">
        <f>'2018'!$D21</f>
        <v>43.698784575534631</v>
      </c>
      <c r="U25" s="14">
        <f>'2019'!$D21</f>
        <v>38.924168656174913</v>
      </c>
      <c r="V25" s="14">
        <f>'2020'!$D21</f>
        <v>31.162434605078474</v>
      </c>
      <c r="W25" s="14">
        <f>'2021'!$D21</f>
        <v>43.308056823374187</v>
      </c>
      <c r="X25" s="14">
        <f>'2022'!$D21</f>
        <v>43.793222061926599</v>
      </c>
    </row>
    <row r="26" spans="2:24" ht="20.100000000000001" customHeight="1" thickBot="1" x14ac:dyDescent="0.25">
      <c r="B26" s="9" t="s">
        <v>42</v>
      </c>
      <c r="C26" s="14">
        <f>'2001'!$D22</f>
        <v>19.445863599641491</v>
      </c>
      <c r="D26" s="14">
        <f>'2002'!$D22</f>
        <v>22.211742182849999</v>
      </c>
      <c r="E26" s="14">
        <f>'2003'!$D22</f>
        <v>25.832292138953591</v>
      </c>
      <c r="F26" s="14">
        <f>'2004'!$D22</f>
        <v>26.012260665387579</v>
      </c>
      <c r="G26" s="14">
        <f>'2005'!$D22</f>
        <v>27.361564069622982</v>
      </c>
      <c r="H26" s="14">
        <f>'2006'!$D22</f>
        <v>28.752275844972875</v>
      </c>
      <c r="I26" s="14">
        <f>'2007'!$D22</f>
        <v>29.814228433841915</v>
      </c>
      <c r="J26" s="14">
        <f>'2008'!$D22</f>
        <v>36.117322303675557</v>
      </c>
      <c r="K26" s="14">
        <f>'2009'!$D22</f>
        <v>40.230977885476442</v>
      </c>
      <c r="L26" s="14">
        <f>'2010'!$D22</f>
        <v>40.009250132808944</v>
      </c>
      <c r="M26" s="14">
        <f>'2011'!$D22</f>
        <v>38.465033505720463</v>
      </c>
      <c r="N26" s="14">
        <f>'2012'!$D22</f>
        <v>39.212505340661949</v>
      </c>
      <c r="O26" s="14">
        <f>'2013'!$D22</f>
        <v>35.200065886578194</v>
      </c>
      <c r="P26" s="14">
        <f>'2014'!$D22</f>
        <v>39.599250105831835</v>
      </c>
      <c r="Q26" s="14">
        <f>'2015'!$D22</f>
        <v>44.626069513111517</v>
      </c>
      <c r="R26" s="14">
        <f>'2016'!$D22</f>
        <v>39.755171632299344</v>
      </c>
      <c r="S26" s="14">
        <f>'2017'!$D22</f>
        <v>45.85476446929448</v>
      </c>
      <c r="T26" s="14">
        <f>'2018'!$D22</f>
        <v>50.801072725423303</v>
      </c>
      <c r="U26" s="14">
        <f>'2019'!$D22</f>
        <v>53.623942168519257</v>
      </c>
      <c r="V26" s="14">
        <f>'2020'!$D22</f>
        <v>47.735258016364305</v>
      </c>
      <c r="W26" s="14">
        <f>'2021'!$D22</f>
        <v>55.452823525634855</v>
      </c>
      <c r="X26" s="14">
        <f>'2022'!$D22</f>
        <v>58.277151754470452</v>
      </c>
    </row>
    <row r="27" spans="2:24" ht="20.100000000000001" customHeight="1" thickBot="1" x14ac:dyDescent="0.25">
      <c r="B27" s="9" t="s">
        <v>5</v>
      </c>
      <c r="C27" s="14">
        <f>'2001'!$D23</f>
        <v>26.774254751621076</v>
      </c>
      <c r="D27" s="14">
        <f>'2002'!$D23</f>
        <v>30.012447558895392</v>
      </c>
      <c r="E27" s="14">
        <f>'2003'!$D23</f>
        <v>31.948916662118645</v>
      </c>
      <c r="F27" s="14">
        <f>'2004'!$D23</f>
        <v>33.083145872988403</v>
      </c>
      <c r="G27" s="14">
        <f>'2005'!$D23</f>
        <v>34.669550016094355</v>
      </c>
      <c r="H27" s="14">
        <f>'2006'!$D23</f>
        <v>36.39205690637592</v>
      </c>
      <c r="I27" s="14">
        <f>'2007'!$D23</f>
        <v>38.252587182101308</v>
      </c>
      <c r="J27" s="14">
        <f>'2008'!$D23</f>
        <v>42.64452758624244</v>
      </c>
      <c r="K27" s="14">
        <f>'2009'!$D23</f>
        <v>48.927847123813081</v>
      </c>
      <c r="L27" s="14">
        <f>'2010'!$D23</f>
        <v>49.636133389615871</v>
      </c>
      <c r="M27" s="14">
        <f>'2011'!$D23</f>
        <v>46.383452954793377</v>
      </c>
      <c r="N27" s="14">
        <f>'2012'!$D23</f>
        <v>52.308536846164337</v>
      </c>
      <c r="O27" s="14">
        <f>'2013'!$D23</f>
        <v>50.947138647852299</v>
      </c>
      <c r="P27" s="14">
        <f>'2014'!$D23</f>
        <v>51.196284417384682</v>
      </c>
      <c r="Q27" s="14">
        <f>'2015'!$D23</f>
        <v>57.61655835223069</v>
      </c>
      <c r="R27" s="14">
        <f>'2016'!$D23</f>
        <v>48.934569550983674</v>
      </c>
      <c r="S27" s="14">
        <f>'2017'!$D23</f>
        <v>54.742846310928066</v>
      </c>
      <c r="T27" s="14">
        <f>'2018'!$D23</f>
        <v>58.046047336482665</v>
      </c>
      <c r="U27" s="14">
        <f>'2019'!$D23</f>
        <v>61.597582424390531</v>
      </c>
      <c r="V27" s="14">
        <f>'2020'!$D23</f>
        <v>58.467503280980601</v>
      </c>
      <c r="W27" s="14">
        <f>'2021'!$D23</f>
        <v>61.768293621804361</v>
      </c>
      <c r="X27" s="14">
        <f>'2022'!$D23</f>
        <v>63.627980503227505</v>
      </c>
    </row>
    <row r="28" spans="2:24" ht="20.100000000000001" customHeight="1" thickBot="1" x14ac:dyDescent="0.25">
      <c r="B28" s="9" t="s">
        <v>43</v>
      </c>
      <c r="C28" s="14">
        <f>'2001'!$D24</f>
        <v>19.926912668264723</v>
      </c>
      <c r="D28" s="14">
        <f>'2002'!$D24</f>
        <v>22.550210778533909</v>
      </c>
      <c r="E28" s="14">
        <f>'2003'!$D24</f>
        <v>25.609805514444108</v>
      </c>
      <c r="F28" s="14">
        <f>'2004'!$D24</f>
        <v>26.288293242564169</v>
      </c>
      <c r="G28" s="14">
        <f>'2005'!$D24</f>
        <v>29.328416434806929</v>
      </c>
      <c r="H28" s="14">
        <f>'2006'!$D24</f>
        <v>28.603278899387419</v>
      </c>
      <c r="I28" s="14">
        <f>'2007'!$D24</f>
        <v>31.366761907752206</v>
      </c>
      <c r="J28" s="14">
        <f>'2008'!$D24</f>
        <v>40.04269517494096</v>
      </c>
      <c r="K28" s="14">
        <f>'2009'!$D24</f>
        <v>51.284988734868449</v>
      </c>
      <c r="L28" s="14">
        <f>'2010'!$D24</f>
        <v>48.732859596805419</v>
      </c>
      <c r="M28" s="14">
        <f>'2011'!$D24</f>
        <v>40.758243649312313</v>
      </c>
      <c r="N28" s="14">
        <f>'2012'!$D24</f>
        <v>40.015614558590983</v>
      </c>
      <c r="O28" s="14">
        <f>'2013'!$D24</f>
        <v>38.786835278104171</v>
      </c>
      <c r="P28" s="14">
        <f>'2014'!$D24</f>
        <v>41.41390415109241</v>
      </c>
      <c r="Q28" s="14">
        <f>'2015'!$D24</f>
        <v>51.835137302580854</v>
      </c>
      <c r="R28" s="14">
        <f>'2016'!$D24</f>
        <v>42.550216229747342</v>
      </c>
      <c r="S28" s="14">
        <f>'2017'!$D24</f>
        <v>40.007298382191948</v>
      </c>
      <c r="T28" s="14">
        <f>'2018'!$D24</f>
        <v>44.583271219522338</v>
      </c>
      <c r="U28" s="14">
        <f>'2019'!$D24</f>
        <v>48.10142733489436</v>
      </c>
      <c r="V28" s="14">
        <f>'2020'!$D24</f>
        <v>47.061937533086287</v>
      </c>
      <c r="W28" s="14">
        <f>'2021'!$D24</f>
        <v>53.328086886608617</v>
      </c>
      <c r="X28" s="14">
        <f>'2022'!$D24</f>
        <v>57.746685199569384</v>
      </c>
    </row>
    <row r="29" spans="2:24" ht="20.100000000000001" customHeight="1" thickBot="1" x14ac:dyDescent="0.25">
      <c r="B29" s="9" t="s">
        <v>44</v>
      </c>
      <c r="C29" s="14">
        <f>'2001'!$D25</f>
        <v>16.659666806663868</v>
      </c>
      <c r="D29" s="14">
        <f>'2002'!$D25</f>
        <v>17.588956472546034</v>
      </c>
      <c r="E29" s="14">
        <f>'2003'!$D25</f>
        <v>18.682715770910658</v>
      </c>
      <c r="F29" s="14">
        <f>'2004'!$D25</f>
        <v>20.577626117334869</v>
      </c>
      <c r="G29" s="14">
        <f>'2005'!$D25</f>
        <v>22.319321681398232</v>
      </c>
      <c r="H29" s="14">
        <f>'2006'!$D25</f>
        <v>23.189652451150604</v>
      </c>
      <c r="I29" s="14">
        <f>'2007'!$D25</f>
        <v>24.468656517460527</v>
      </c>
      <c r="J29" s="14">
        <f>'2008'!$D25</f>
        <v>29.438510710395278</v>
      </c>
      <c r="K29" s="14">
        <f>'2009'!$D25</f>
        <v>35.042568081430304</v>
      </c>
      <c r="L29" s="14">
        <f>'2010'!$D25</f>
        <v>33.215412888396131</v>
      </c>
      <c r="M29" s="14">
        <f>'2011'!$D25</f>
        <v>31.093506860942142</v>
      </c>
      <c r="N29" s="14">
        <f>'2012'!$D25</f>
        <v>33.638849599245638</v>
      </c>
      <c r="O29" s="14">
        <f>'2013'!$D25</f>
        <v>31.716581390653037</v>
      </c>
      <c r="P29" s="14">
        <f>'2014'!$D25</f>
        <v>34.687353857582465</v>
      </c>
      <c r="Q29" s="14">
        <f>'2015'!$D25</f>
        <v>40.781525871449617</v>
      </c>
      <c r="R29" s="14">
        <f>'2016'!$D25</f>
        <v>34.755212196777201</v>
      </c>
      <c r="S29" s="14">
        <f>'2017'!$D25</f>
        <v>36.844032170130802</v>
      </c>
      <c r="T29" s="14">
        <f>'2018'!$D25</f>
        <v>41.039871769184536</v>
      </c>
      <c r="U29" s="14">
        <f>'2019'!$D25</f>
        <v>45.856773727663125</v>
      </c>
      <c r="V29" s="14">
        <f>'2020'!$D25</f>
        <v>38.794453029522572</v>
      </c>
      <c r="W29" s="14">
        <f>'2021'!$D25</f>
        <v>45.019092918871841</v>
      </c>
      <c r="X29" s="14">
        <f>'2022'!$D25</f>
        <v>48.301735110872912</v>
      </c>
    </row>
    <row r="30" spans="2:24" ht="20.100000000000001" customHeight="1" thickBot="1" x14ac:dyDescent="0.25">
      <c r="B30" s="9" t="s">
        <v>45</v>
      </c>
      <c r="C30" s="14">
        <f>'2001'!$D26</f>
        <v>12.005847003410752</v>
      </c>
      <c r="D30" s="14">
        <f>'2002'!$D26</f>
        <v>19.145903873660895</v>
      </c>
      <c r="E30" s="14">
        <f>'2003'!$D26</f>
        <v>20.854597754477126</v>
      </c>
      <c r="F30" s="14">
        <f>'2004'!$D26</f>
        <v>22.078038647466887</v>
      </c>
      <c r="G30" s="14">
        <f>'2005'!$D26</f>
        <v>24.016543086478933</v>
      </c>
      <c r="H30" s="14">
        <f>'2006'!$D26</f>
        <v>26.74152941758522</v>
      </c>
      <c r="I30" s="14">
        <f>'2007'!$D26</f>
        <v>27.893842576579623</v>
      </c>
      <c r="J30" s="14">
        <f>'2008'!$D26</f>
        <v>32.497853088673068</v>
      </c>
      <c r="K30" s="14">
        <f>'2009'!$D26</f>
        <v>37.603327371461127</v>
      </c>
      <c r="L30" s="14">
        <f>'2010'!$D26</f>
        <v>36.976405649925226</v>
      </c>
      <c r="M30" s="14">
        <f>'2011'!$D26</f>
        <v>36.018797379683988</v>
      </c>
      <c r="N30" s="14">
        <f>'2012'!$D26</f>
        <v>38.71731191376486</v>
      </c>
      <c r="O30" s="14">
        <f>'2013'!$D26</f>
        <v>33.897375695083134</v>
      </c>
      <c r="P30" s="14">
        <f>'2014'!$D26</f>
        <v>37.379190945231556</v>
      </c>
      <c r="Q30" s="14">
        <f>'2015'!$D26</f>
        <v>37.967046710012809</v>
      </c>
      <c r="R30" s="14">
        <f>'2016'!$D26</f>
        <v>34.107704551483685</v>
      </c>
      <c r="S30" s="14">
        <f>'2017'!$D26</f>
        <v>36.404857025775833</v>
      </c>
      <c r="T30" s="14">
        <f>'2018'!$D26</f>
        <v>42.092863328409152</v>
      </c>
      <c r="U30" s="14">
        <f>'2019'!$D26</f>
        <v>42.805745747970256</v>
      </c>
      <c r="V30" s="14">
        <f>'2020'!$D26</f>
        <v>38.120112457466945</v>
      </c>
      <c r="W30" s="14">
        <f>'2021'!$D26</f>
        <v>43.37342573079691</v>
      </c>
      <c r="X30" s="14">
        <f>'2022'!$D26</f>
        <v>47.411845430354958</v>
      </c>
    </row>
    <row r="31" spans="2:24" ht="20.100000000000001" customHeight="1" thickBot="1" x14ac:dyDescent="0.25">
      <c r="B31" s="9" t="s">
        <v>46</v>
      </c>
      <c r="C31" s="14">
        <f>'2001'!$D27</f>
        <v>15.038781518444914</v>
      </c>
      <c r="D31" s="14">
        <f>'2002'!$D27</f>
        <v>22.708263257204429</v>
      </c>
      <c r="E31" s="14">
        <f>'2003'!$D27</f>
        <v>24.294842855281964</v>
      </c>
      <c r="F31" s="14">
        <f>'2004'!$D27</f>
        <v>25.592503281776153</v>
      </c>
      <c r="G31" s="14">
        <f>'2005'!$D27</f>
        <v>28.815832332629515</v>
      </c>
      <c r="H31" s="14">
        <f>'2006'!$D27</f>
        <v>29.832412426791695</v>
      </c>
      <c r="I31" s="14">
        <f>'2007'!$D27</f>
        <v>32.128581416535425</v>
      </c>
      <c r="J31" s="14">
        <f>'2008'!$D27</f>
        <v>34.752234398277267</v>
      </c>
      <c r="K31" s="14">
        <f>'2009'!$D27</f>
        <v>40.328663416814493</v>
      </c>
      <c r="L31" s="14">
        <f>'2010'!$D27</f>
        <v>39.879350137554098</v>
      </c>
      <c r="M31" s="14">
        <f>'2011'!$D27</f>
        <v>38.440482458740291</v>
      </c>
      <c r="N31" s="14">
        <f>'2012'!$D27</f>
        <v>42.046103237052534</v>
      </c>
      <c r="O31" s="14">
        <f>'2013'!$D27</f>
        <v>39.866943253195288</v>
      </c>
      <c r="P31" s="14">
        <f>'2014'!$D27</f>
        <v>43.697775737484939</v>
      </c>
      <c r="Q31" s="14">
        <f>'2015'!$D27</f>
        <v>46.392996426530971</v>
      </c>
      <c r="R31" s="14">
        <f>'2016'!$D27</f>
        <v>40.404382262542093</v>
      </c>
      <c r="S31" s="14">
        <f>'2017'!$D27</f>
        <v>43.265428539294156</v>
      </c>
      <c r="T31" s="14">
        <f>'2018'!$D27</f>
        <v>44.49185286831387</v>
      </c>
      <c r="U31" s="14">
        <f>'2019'!$D27</f>
        <v>48.878345403163287</v>
      </c>
      <c r="V31" s="14">
        <f>'2020'!$D27</f>
        <v>46.469337635884706</v>
      </c>
      <c r="W31" s="14">
        <f>'2021'!$D27</f>
        <v>51.503659383609467</v>
      </c>
      <c r="X31" s="14">
        <f>'2022'!$D27</f>
        <v>54.212263889856033</v>
      </c>
    </row>
    <row r="32" spans="2:24" ht="20.100000000000001" customHeight="1" thickBot="1" x14ac:dyDescent="0.25">
      <c r="B32" s="9" t="s">
        <v>47</v>
      </c>
      <c r="C32" s="14">
        <f>'2001'!$D28</f>
        <v>13.745124698550063</v>
      </c>
      <c r="D32" s="14">
        <f>'2002'!$D28</f>
        <v>14.889838999275844</v>
      </c>
      <c r="E32" s="14">
        <f>'2003'!$D28</f>
        <v>16.085170113606136</v>
      </c>
      <c r="F32" s="14">
        <f>'2004'!$D28</f>
        <v>16.773733047822983</v>
      </c>
      <c r="G32" s="14">
        <f>'2005'!$D28</f>
        <v>18.372488868800907</v>
      </c>
      <c r="H32" s="14">
        <f>'2006'!$D28</f>
        <v>19.29861563830195</v>
      </c>
      <c r="I32" s="14">
        <f>'2007'!$D28</f>
        <v>21.6581904198699</v>
      </c>
      <c r="J32" s="14">
        <f>'2008'!$D28</f>
        <v>23.486347631390693</v>
      </c>
      <c r="K32" s="14">
        <f>'2009'!$D28</f>
        <v>29.913094684927977</v>
      </c>
      <c r="L32" s="14">
        <f>'2010'!$D28</f>
        <v>27.205166363519446</v>
      </c>
      <c r="M32" s="14">
        <f>'2011'!$D28</f>
        <v>25.769150033312343</v>
      </c>
      <c r="N32" s="14">
        <f>'2012'!$D28</f>
        <v>29.72903557210736</v>
      </c>
      <c r="O32" s="14">
        <f>'2013'!$D28</f>
        <v>26.743873260374048</v>
      </c>
      <c r="P32" s="14">
        <f>'2014'!$D28</f>
        <v>30.441216877401192</v>
      </c>
      <c r="Q32" s="14">
        <f>'2015'!$D28</f>
        <v>35.728827860930828</v>
      </c>
      <c r="R32" s="14">
        <f>'2016'!$D28</f>
        <v>30.780172177986881</v>
      </c>
      <c r="S32" s="14">
        <f>'2017'!$D28</f>
        <v>33.922442858724423</v>
      </c>
      <c r="T32" s="14">
        <f>'2018'!$D28</f>
        <v>39.067649653689749</v>
      </c>
      <c r="U32" s="14">
        <f>'2019'!$D28</f>
        <v>35.664624176764512</v>
      </c>
      <c r="V32" s="14">
        <f>'2020'!$D28</f>
        <v>31.691810399767512</v>
      </c>
      <c r="W32" s="14">
        <f>'2021'!$D28</f>
        <v>36.528979725444465</v>
      </c>
      <c r="X32" s="14">
        <f>'2022'!$D28</f>
        <v>39.316475377974186</v>
      </c>
    </row>
    <row r="33" spans="2:24" ht="20.100000000000001" customHeight="1" thickBot="1" x14ac:dyDescent="0.25">
      <c r="B33" s="9" t="s">
        <v>48</v>
      </c>
      <c r="C33" s="14">
        <f>'2001'!$D29</f>
        <v>10.675387350401209</v>
      </c>
      <c r="D33" s="14">
        <f>'2002'!$D29</f>
        <v>35.700548970243716</v>
      </c>
      <c r="E33" s="14">
        <f>'2003'!$D29</f>
        <v>37.006447912129936</v>
      </c>
      <c r="F33" s="14">
        <f>'2004'!$D29</f>
        <v>37.159241846050051</v>
      </c>
      <c r="G33" s="14">
        <f>'2005'!$D29</f>
        <v>39.665661397670547</v>
      </c>
      <c r="H33" s="14">
        <f>'2006'!$D29</f>
        <v>38.631990053088032</v>
      </c>
      <c r="I33" s="14">
        <f>'2007'!$D29</f>
        <v>40.700313687485654</v>
      </c>
      <c r="J33" s="14">
        <f>'2008'!$D29</f>
        <v>42.010802705959605</v>
      </c>
      <c r="K33" s="14">
        <f>'2009'!$D29</f>
        <v>47.444317782140281</v>
      </c>
      <c r="L33" s="14">
        <f>'2010'!$D29</f>
        <v>47.6023321931279</v>
      </c>
      <c r="M33" s="14">
        <f>'2011'!$D29</f>
        <v>49.209829040709096</v>
      </c>
      <c r="N33" s="14">
        <f>'2012'!$D29</f>
        <v>46.296641073188411</v>
      </c>
      <c r="O33" s="14">
        <f>'2013'!$D29</f>
        <v>43.304242175761928</v>
      </c>
      <c r="P33" s="14">
        <f>'2014'!$D29</f>
        <v>42.893092217125499</v>
      </c>
      <c r="Q33" s="14">
        <f>'2015'!$D29</f>
        <v>45.927315119874294</v>
      </c>
      <c r="R33" s="14">
        <f>'2016'!$D29</f>
        <v>44.313191437271435</v>
      </c>
      <c r="S33" s="14">
        <f>'2017'!$D29</f>
        <v>46.309020798293474</v>
      </c>
      <c r="T33" s="14">
        <f>'2018'!$D29</f>
        <v>52.504462609250332</v>
      </c>
      <c r="U33" s="14">
        <f>'2019'!$D29</f>
        <v>57.452076039436633</v>
      </c>
      <c r="V33" s="14">
        <f>'2020'!$D29</f>
        <v>52.654080923068996</v>
      </c>
      <c r="W33" s="14">
        <f>'2021'!$D29</f>
        <v>63.115840026496642</v>
      </c>
      <c r="X33" s="14">
        <f>'2022'!$D29</f>
        <v>63.980086114101177</v>
      </c>
    </row>
    <row r="34" spans="2:24" ht="20.100000000000001" customHeight="1" thickBot="1" x14ac:dyDescent="0.25">
      <c r="B34" s="9" t="s">
        <v>49</v>
      </c>
      <c r="C34" s="14">
        <f>'2001'!$D30</f>
        <v>19.898214439748124</v>
      </c>
      <c r="D34" s="14">
        <f>'2002'!$D30</f>
        <v>23.21973142153978</v>
      </c>
      <c r="E34" s="14">
        <f>'2003'!$D30</f>
        <v>21.123396784208929</v>
      </c>
      <c r="F34" s="14">
        <f>'2004'!$D30</f>
        <v>27.373553516358115</v>
      </c>
      <c r="G34" s="14">
        <f>'2005'!$D30</f>
        <v>28.008776444456483</v>
      </c>
      <c r="H34" s="14">
        <f>'2006'!$D30</f>
        <v>29.38031312424436</v>
      </c>
      <c r="I34" s="14">
        <f>'2007'!$D30</f>
        <v>30.014797822100444</v>
      </c>
      <c r="J34" s="14">
        <f>'2008'!$D30</f>
        <v>36.367412524731371</v>
      </c>
      <c r="K34" s="14">
        <f>'2009'!$D30</f>
        <v>42.715657771917485</v>
      </c>
      <c r="L34" s="14">
        <f>'2010'!$D30</f>
        <v>43.792809469806627</v>
      </c>
      <c r="M34" s="14">
        <f>'2011'!$D30</f>
        <v>38.358372643067618</v>
      </c>
      <c r="N34" s="14">
        <f>'2012'!$D30</f>
        <v>39.520657749790914</v>
      </c>
      <c r="O34" s="14">
        <f>'2013'!$D30</f>
        <v>37.147861434393512</v>
      </c>
      <c r="P34" s="14">
        <f>'2014'!$D30</f>
        <v>39.72989700537984</v>
      </c>
      <c r="Q34" s="14">
        <f>'2015'!$D30</f>
        <v>33.724009168001231</v>
      </c>
      <c r="R34" s="14">
        <f>'2016'!$D30</f>
        <v>33.460460524220515</v>
      </c>
      <c r="S34" s="14">
        <f>'2017'!$D30</f>
        <v>38.834694514870662</v>
      </c>
      <c r="T34" s="14">
        <f>'2018'!$D30</f>
        <v>42.831063052942</v>
      </c>
      <c r="U34" s="14">
        <f>'2019'!$D30</f>
        <v>45.121938566411259</v>
      </c>
      <c r="V34" s="14">
        <f>'2020'!$D30</f>
        <v>42.235235127681676</v>
      </c>
      <c r="W34" s="14">
        <f>'2021'!$D30</f>
        <v>50.427411275928172</v>
      </c>
      <c r="X34" s="14">
        <f>'2022'!$D30</f>
        <v>58.615858712731821</v>
      </c>
    </row>
    <row r="35" spans="2:24" ht="20.100000000000001" customHeight="1" thickBot="1" x14ac:dyDescent="0.25">
      <c r="B35" s="9" t="s">
        <v>50</v>
      </c>
      <c r="C35" s="14">
        <f>'2001'!$D31</f>
        <v>11.961060104327023</v>
      </c>
      <c r="D35" s="14">
        <f>'2002'!$D31</f>
        <v>26.48117915548886</v>
      </c>
      <c r="E35" s="14">
        <f>'2003'!$D31</f>
        <v>30.900596178996192</v>
      </c>
      <c r="F35" s="14">
        <f>'2004'!$D31</f>
        <v>31.66141332823247</v>
      </c>
      <c r="G35" s="14">
        <f>'2005'!$D31</f>
        <v>29.818863558749122</v>
      </c>
      <c r="H35" s="14">
        <f>'2006'!$D31</f>
        <v>34.324981967258019</v>
      </c>
      <c r="I35" s="14">
        <f>'2007'!$D31</f>
        <v>34.795876932334501</v>
      </c>
      <c r="J35" s="14">
        <f>'2008'!$D31</f>
        <v>40.390803577372893</v>
      </c>
      <c r="K35" s="14">
        <f>'2009'!$D31</f>
        <v>46.599840428111101</v>
      </c>
      <c r="L35" s="14">
        <f>'2010'!$D31</f>
        <v>46.229489626085972</v>
      </c>
      <c r="M35" s="14">
        <f>'2011'!$D31</f>
        <v>41.824671461792221</v>
      </c>
      <c r="N35" s="14">
        <f>'2012'!$D31</f>
        <v>44.758637726886604</v>
      </c>
      <c r="O35" s="14">
        <f>'2013'!$D31</f>
        <v>39.510768296967647</v>
      </c>
      <c r="P35" s="14">
        <f>'2014'!$D31</f>
        <v>42.334861412467163</v>
      </c>
      <c r="Q35" s="14">
        <f>'2015'!$D31</f>
        <v>43.982483317834898</v>
      </c>
      <c r="R35" s="14">
        <f>'2016'!$D31</f>
        <v>42.307557854995459</v>
      </c>
      <c r="S35" s="14">
        <f>'2017'!$D31</f>
        <v>46.126900183802185</v>
      </c>
      <c r="T35" s="14">
        <f>'2018'!$D31</f>
        <v>48.570567113450096</v>
      </c>
      <c r="U35" s="14">
        <f>'2019'!$D31</f>
        <v>49.84486343828101</v>
      </c>
      <c r="V35" s="14">
        <f>'2020'!$D31</f>
        <v>44.930850508285758</v>
      </c>
      <c r="W35" s="14">
        <f>'2021'!$D31</f>
        <v>50.773983055078588</v>
      </c>
      <c r="X35" s="14">
        <f>'2022'!$D31</f>
        <v>54.294949301993405</v>
      </c>
    </row>
    <row r="36" spans="2:24" ht="20.100000000000001" customHeight="1" thickBot="1" x14ac:dyDescent="0.25">
      <c r="B36" s="9" t="s">
        <v>51</v>
      </c>
      <c r="C36" s="14">
        <f>'2001'!$D32</f>
        <v>18.13655761024182</v>
      </c>
      <c r="D36" s="14">
        <f>'2002'!$D32</f>
        <v>19.323698674062364</v>
      </c>
      <c r="E36" s="14">
        <f>'2003'!$D32</f>
        <v>22.574592665279233</v>
      </c>
      <c r="F36" s="14">
        <f>'2004'!$D32</f>
        <v>24.908077333649626</v>
      </c>
      <c r="G36" s="14">
        <f>'2005'!$D32</f>
        <v>24.021164540559642</v>
      </c>
      <c r="H36" s="14">
        <f>'2006'!$D32</f>
        <v>24.678578955996347</v>
      </c>
      <c r="I36" s="14">
        <f>'2007'!$D32</f>
        <v>26.589192952391151</v>
      </c>
      <c r="J36" s="14">
        <f>'2008'!$D32</f>
        <v>31.666996093142185</v>
      </c>
      <c r="K36" s="14">
        <f>'2009'!$D32</f>
        <v>42.591742467022279</v>
      </c>
      <c r="L36" s="14">
        <f>'2010'!$D32</f>
        <v>40.534577819472659</v>
      </c>
      <c r="M36" s="14">
        <f>'2011'!$D32</f>
        <v>35.896296122997256</v>
      </c>
      <c r="N36" s="14">
        <f>'2012'!$D32</f>
        <v>35.077850171651825</v>
      </c>
      <c r="O36" s="14">
        <f>'2013'!$D32</f>
        <v>35.018217233231027</v>
      </c>
      <c r="P36" s="14">
        <f>'2014'!$D32</f>
        <v>36.848245675851324</v>
      </c>
      <c r="Q36" s="14">
        <f>'2015'!$D32</f>
        <v>41.890368408189651</v>
      </c>
      <c r="R36" s="14">
        <f>'2016'!$D32</f>
        <v>33.244754470464486</v>
      </c>
      <c r="S36" s="14">
        <f>'2017'!$D32</f>
        <v>40.784019580750865</v>
      </c>
      <c r="T36" s="14">
        <f>'2018'!$D32</f>
        <v>45.484215990059297</v>
      </c>
      <c r="U36" s="14">
        <f>'2019'!$D32</f>
        <v>46.271366609507993</v>
      </c>
      <c r="V36" s="14">
        <f>'2020'!$D32</f>
        <v>43.706940972155962</v>
      </c>
      <c r="W36" s="14">
        <f>'2021'!$D32</f>
        <v>48.560175911562268</v>
      </c>
      <c r="X36" s="14">
        <f>'2022'!$D32</f>
        <v>55.642574212690327</v>
      </c>
    </row>
    <row r="37" spans="2:24" ht="20.100000000000001" customHeight="1" thickBot="1" x14ac:dyDescent="0.25">
      <c r="B37" s="9" t="s">
        <v>52</v>
      </c>
      <c r="C37" s="14">
        <f>'2001'!$D33</f>
        <v>18.753384012301559</v>
      </c>
      <c r="D37" s="14">
        <f>'2002'!$D33</f>
        <v>20.779293405085451</v>
      </c>
      <c r="E37" s="14">
        <f>'2003'!$D33</f>
        <v>24.305423265304395</v>
      </c>
      <c r="F37" s="14">
        <f>'2004'!$D33</f>
        <v>25.470572070475157</v>
      </c>
      <c r="G37" s="14">
        <f>'2005'!$D33</f>
        <v>26.59200648212455</v>
      </c>
      <c r="H37" s="14">
        <f>'2006'!$D33</f>
        <v>27.256620626038757</v>
      </c>
      <c r="I37" s="14">
        <f>'2007'!$D33</f>
        <v>27.544301355714918</v>
      </c>
      <c r="J37" s="14">
        <f>'2008'!$D33</f>
        <v>34.535306104367855</v>
      </c>
      <c r="K37" s="14">
        <f>'2009'!$D33</f>
        <v>39.029768037974065</v>
      </c>
      <c r="L37" s="14">
        <f>'2010'!$D33</f>
        <v>39.962862950002027</v>
      </c>
      <c r="M37" s="14">
        <f>'2011'!$D33</f>
        <v>36.38345645710082</v>
      </c>
      <c r="N37" s="14">
        <f>'2012'!$D33</f>
        <v>38.555106318684473</v>
      </c>
      <c r="O37" s="14">
        <f>'2013'!$D33</f>
        <v>33.827698264537098</v>
      </c>
      <c r="P37" s="14">
        <f>'2014'!$D33</f>
        <v>37.52294267076762</v>
      </c>
      <c r="Q37" s="14">
        <f>'2015'!$D33</f>
        <v>43.013978389168045</v>
      </c>
      <c r="R37" s="14">
        <f>'2016'!$D33</f>
        <v>37.082656525454397</v>
      </c>
      <c r="S37" s="14">
        <f>'2017'!$D33</f>
        <v>45.456998053687393</v>
      </c>
      <c r="T37" s="14">
        <f>'2018'!$D33</f>
        <v>50.923966980297422</v>
      </c>
      <c r="U37" s="14">
        <f>'2019'!$D33</f>
        <v>51.259892310345485</v>
      </c>
      <c r="V37" s="14">
        <f>'2020'!$D33</f>
        <v>45.330912225956453</v>
      </c>
      <c r="W37" s="14">
        <f>'2021'!$D33</f>
        <v>48.359276198807606</v>
      </c>
      <c r="X37" s="14">
        <f>'2022'!$D33</f>
        <v>52.700942310800912</v>
      </c>
    </row>
    <row r="38" spans="2:24" ht="20.100000000000001" customHeight="1" thickBot="1" x14ac:dyDescent="0.25">
      <c r="B38" s="9" t="s">
        <v>53</v>
      </c>
      <c r="C38" s="14">
        <f>'2001'!$D34</f>
        <v>17.547522517054698</v>
      </c>
      <c r="D38" s="14">
        <f>'2002'!$D34</f>
        <v>17.811765719290015</v>
      </c>
      <c r="E38" s="14">
        <f>'2003'!$D34</f>
        <v>20.469884422062986</v>
      </c>
      <c r="F38" s="14">
        <f>'2004'!$D34</f>
        <v>21.070826346517865</v>
      </c>
      <c r="G38" s="14">
        <f>'2005'!$D34</f>
        <v>23.366564132972613</v>
      </c>
      <c r="H38" s="14">
        <f>'2006'!$D34</f>
        <v>24.625842227654879</v>
      </c>
      <c r="I38" s="14">
        <f>'2007'!$D34</f>
        <v>24.383595251400454</v>
      </c>
      <c r="J38" s="14">
        <f>'2008'!$D34</f>
        <v>29.959471037106422</v>
      </c>
      <c r="K38" s="14">
        <f>'2009'!$D34</f>
        <v>38.84698063561418</v>
      </c>
      <c r="L38" s="14">
        <f>'2010'!$D34</f>
        <v>36.396489416623645</v>
      </c>
      <c r="M38" s="14">
        <f>'2011'!$D34</f>
        <v>35.119832195514995</v>
      </c>
      <c r="N38" s="14">
        <f>'2012'!$D34</f>
        <v>35.732330443875242</v>
      </c>
      <c r="O38" s="14">
        <f>'2013'!$D34</f>
        <v>32.368808239333006</v>
      </c>
      <c r="P38" s="14">
        <f>'2014'!$D34</f>
        <v>33.631379802497896</v>
      </c>
      <c r="Q38" s="14">
        <f>'2015'!$D34</f>
        <v>34.93802403671453</v>
      </c>
      <c r="R38" s="14">
        <f>'2016'!$D34</f>
        <v>32.35495004048326</v>
      </c>
      <c r="S38" s="14">
        <f>'2017'!$D34</f>
        <v>38.147126562343537</v>
      </c>
      <c r="T38" s="14">
        <f>'2018'!$D34</f>
        <v>36.581640794182682</v>
      </c>
      <c r="U38" s="14">
        <f>'2019'!$D34</f>
        <v>39.603376560933675</v>
      </c>
      <c r="V38" s="14">
        <f>'2020'!$D34</f>
        <v>36.180827798659102</v>
      </c>
      <c r="W38" s="14">
        <f>'2021'!$D34</f>
        <v>40.372061498947666</v>
      </c>
      <c r="X38" s="14">
        <f>'2022'!$D34</f>
        <v>42.057575000891809</v>
      </c>
    </row>
    <row r="39" spans="2:24" ht="20.100000000000001" customHeight="1" thickBot="1" x14ac:dyDescent="0.25">
      <c r="B39" s="9" t="s">
        <v>54</v>
      </c>
      <c r="C39" s="14">
        <f>'2001'!$D35</f>
        <v>17.862092566984781</v>
      </c>
      <c r="D39" s="14">
        <f>'2002'!$D35</f>
        <v>19.696101404569443</v>
      </c>
      <c r="E39" s="14">
        <f>'2003'!$D35</f>
        <v>21.141405692448185</v>
      </c>
      <c r="F39" s="14">
        <f>'2004'!$D35</f>
        <v>22.227553181411182</v>
      </c>
      <c r="G39" s="14">
        <f>'2005'!$D35</f>
        <v>24.307722131688788</v>
      </c>
      <c r="H39" s="14">
        <f>'2006'!$D35</f>
        <v>26.263257241407405</v>
      </c>
      <c r="I39" s="14">
        <f>'2007'!$D35</f>
        <v>26.685541157321186</v>
      </c>
      <c r="J39" s="14">
        <f>'2008'!$D35</f>
        <v>30.919725877160126</v>
      </c>
      <c r="K39" s="14">
        <f>'2009'!$D35</f>
        <v>36.286433496271918</v>
      </c>
      <c r="L39" s="14">
        <f>'2010'!$D35</f>
        <v>36.794029468022138</v>
      </c>
      <c r="M39" s="14">
        <f>'2011'!$D35</f>
        <v>33.116611989263347</v>
      </c>
      <c r="N39" s="14">
        <f>'2012'!$D35</f>
        <v>35.054502702009124</v>
      </c>
      <c r="O39" s="14">
        <f>'2013'!$D35</f>
        <v>30.324131168448346</v>
      </c>
      <c r="P39" s="14">
        <f>'2014'!$D35</f>
        <v>35.706861416651364</v>
      </c>
      <c r="Q39" s="14">
        <f>'2015'!$D35</f>
        <v>37.398535548863443</v>
      </c>
      <c r="R39" s="14">
        <f>'2016'!$D35</f>
        <v>32.91785576552256</v>
      </c>
      <c r="S39" s="14">
        <f>'2017'!$D35</f>
        <v>40.36308595085503</v>
      </c>
      <c r="T39" s="14">
        <f>'2018'!$D35</f>
        <v>42.639151605001729</v>
      </c>
      <c r="U39" s="14">
        <f>'2019'!$D35</f>
        <v>41.634310030241615</v>
      </c>
      <c r="V39" s="14">
        <f>'2020'!$D35</f>
        <v>38.974882044280712</v>
      </c>
      <c r="W39" s="14">
        <f>'2021'!$D35</f>
        <v>41.269790653549961</v>
      </c>
      <c r="X39" s="14">
        <f>'2022'!$D35</f>
        <v>45.603405666544433</v>
      </c>
    </row>
    <row r="40" spans="2:24" ht="20.100000000000001" customHeight="1" thickBot="1" x14ac:dyDescent="0.25">
      <c r="B40" s="9" t="s">
        <v>55</v>
      </c>
      <c r="C40" s="14">
        <f>'2001'!$D36</f>
        <v>21.500769743572292</v>
      </c>
      <c r="D40" s="14">
        <f>'2002'!$D36</f>
        <v>25.64556885564426</v>
      </c>
      <c r="E40" s="14">
        <f>'2003'!$D36</f>
        <v>29.01826217041198</v>
      </c>
      <c r="F40" s="14">
        <f>'2004'!$D36</f>
        <v>29.803945445689234</v>
      </c>
      <c r="G40" s="14">
        <f>'2005'!$D36</f>
        <v>30.992010518207227</v>
      </c>
      <c r="H40" s="14">
        <f>'2006'!$D36</f>
        <v>32.985229505663128</v>
      </c>
      <c r="I40" s="14">
        <f>'2007'!$D36</f>
        <v>33.306057456266451</v>
      </c>
      <c r="J40" s="14">
        <f>'2008'!$D36</f>
        <v>36.697321071571373</v>
      </c>
      <c r="K40" s="14">
        <f>'2009'!$D36</f>
        <v>43.225389818241439</v>
      </c>
      <c r="L40" s="14">
        <f>'2010'!$D36</f>
        <v>43.734627987277776</v>
      </c>
      <c r="M40" s="14">
        <f>'2011'!$D36</f>
        <v>39.68268317132015</v>
      </c>
      <c r="N40" s="14">
        <f>'2012'!$D36</f>
        <v>44.358288283368822</v>
      </c>
      <c r="O40" s="14">
        <f>'2013'!$D36</f>
        <v>42.480684101341083</v>
      </c>
      <c r="P40" s="14">
        <f>'2014'!$D36</f>
        <v>50.768113490160808</v>
      </c>
      <c r="Q40" s="14">
        <f>'2015'!$D36</f>
        <v>55.34058552967803</v>
      </c>
      <c r="R40" s="14">
        <f>'2016'!$D36</f>
        <v>45.597165564480029</v>
      </c>
      <c r="S40" s="14">
        <f>'2017'!$D36</f>
        <v>43.607307886128169</v>
      </c>
      <c r="T40" s="14">
        <f>'2018'!$D36</f>
        <v>47.827905793257521</v>
      </c>
      <c r="U40" s="14">
        <f>'2019'!$D36</f>
        <v>51.910756715746267</v>
      </c>
      <c r="V40" s="14">
        <f>'2020'!$D36</f>
        <v>48.25617442856548</v>
      </c>
      <c r="W40" s="14">
        <f>'2021'!$D36</f>
        <v>59.454601001536396</v>
      </c>
      <c r="X40" s="14">
        <f>'2022'!$D36</f>
        <v>57.690179010241174</v>
      </c>
    </row>
    <row r="41" spans="2:24" ht="20.100000000000001" customHeight="1" thickBot="1" x14ac:dyDescent="0.25">
      <c r="B41" s="9" t="s">
        <v>56</v>
      </c>
      <c r="C41" s="14">
        <f>'2001'!$D37</f>
        <v>17.601630582182494</v>
      </c>
      <c r="D41" s="14">
        <f>'2002'!$D37</f>
        <v>19.732923690558003</v>
      </c>
      <c r="E41" s="14">
        <f>'2003'!$D37</f>
        <v>23.363582680814218</v>
      </c>
      <c r="F41" s="14">
        <f>'2004'!$D37</f>
        <v>25.453657827220507</v>
      </c>
      <c r="G41" s="14">
        <f>'2005'!$D37</f>
        <v>27.718875723201791</v>
      </c>
      <c r="H41" s="14">
        <f>'2006'!$D37</f>
        <v>27.614994993815891</v>
      </c>
      <c r="I41" s="14">
        <f>'2007'!$D37</f>
        <v>31.148629880559884</v>
      </c>
      <c r="J41" s="14">
        <f>'2008'!$D37</f>
        <v>33.989111490095389</v>
      </c>
      <c r="K41" s="14">
        <f>'2009'!$D37</f>
        <v>39.392578402482116</v>
      </c>
      <c r="L41" s="14">
        <f>'2010'!$D37</f>
        <v>38.581706718087723</v>
      </c>
      <c r="M41" s="14">
        <f>'2011'!$D37</f>
        <v>35.599627408954845</v>
      </c>
      <c r="N41" s="14">
        <f>'2012'!$D37</f>
        <v>35.999656909658896</v>
      </c>
      <c r="O41" s="14">
        <f>'2013'!$D37</f>
        <v>34.655205651883016</v>
      </c>
      <c r="P41" s="14">
        <f>'2014'!$D37</f>
        <v>36.72822664788437</v>
      </c>
      <c r="Q41" s="14">
        <f>'2015'!$D37</f>
        <v>32.869373367367771</v>
      </c>
      <c r="R41" s="14">
        <f>'2016'!$D37</f>
        <v>32.513057522215647</v>
      </c>
      <c r="S41" s="14">
        <f>'2017'!$D37</f>
        <v>38.59532267613973</v>
      </c>
      <c r="T41" s="14">
        <f>'2018'!$D37</f>
        <v>42.271742294382094</v>
      </c>
      <c r="U41" s="14">
        <f>'2019'!$D37</f>
        <v>47.235187271514953</v>
      </c>
      <c r="V41" s="14">
        <f>'2020'!$D37</f>
        <v>43.628867295908712</v>
      </c>
      <c r="W41" s="14">
        <f>'2021'!$D37</f>
        <v>50.856554180207262</v>
      </c>
      <c r="X41" s="14">
        <f>'2022'!$D37</f>
        <v>63.437087101769954</v>
      </c>
    </row>
    <row r="42" spans="2:24" ht="20.100000000000001" customHeight="1" thickBot="1" x14ac:dyDescent="0.25">
      <c r="B42" s="9" t="s">
        <v>57</v>
      </c>
      <c r="C42" s="14">
        <f>'2001'!$D38</f>
        <v>18.867147270854787</v>
      </c>
      <c r="D42" s="14">
        <f>'2002'!$D38</f>
        <v>23.135479377083438</v>
      </c>
      <c r="E42" s="14">
        <f>'2003'!$D38</f>
        <v>25.721751287058407</v>
      </c>
      <c r="F42" s="14">
        <f>'2004'!$D38</f>
        <v>27.024538850390009</v>
      </c>
      <c r="G42" s="14">
        <f>'2005'!$D38</f>
        <v>28.381684725620413</v>
      </c>
      <c r="H42" s="14">
        <f>'2006'!$D38</f>
        <v>28.415990128857665</v>
      </c>
      <c r="I42" s="14">
        <f>'2007'!$D38</f>
        <v>29.681059531049396</v>
      </c>
      <c r="J42" s="14">
        <f>'2008'!$D38</f>
        <v>32.544037530691973</v>
      </c>
      <c r="K42" s="14">
        <f>'2009'!$D38</f>
        <v>35.876068075282589</v>
      </c>
      <c r="L42" s="14">
        <f>'2010'!$D38</f>
        <v>35.419684077125012</v>
      </c>
      <c r="M42" s="14">
        <f>'2011'!$D38</f>
        <v>36.708104571444828</v>
      </c>
      <c r="N42" s="14">
        <f>'2012'!$D38</f>
        <v>40.062825664513248</v>
      </c>
      <c r="O42" s="14">
        <f>'2013'!$D38</f>
        <v>40.484964090114303</v>
      </c>
      <c r="P42" s="14">
        <f>'2014'!$D38</f>
        <v>43.906893694492744</v>
      </c>
      <c r="Q42" s="14">
        <f>'2015'!$D38</f>
        <v>43.832096786549826</v>
      </c>
      <c r="R42" s="14">
        <f>'2016'!$D38</f>
        <v>38.163356877754239</v>
      </c>
      <c r="S42" s="14">
        <f>'2017'!$D38</f>
        <v>39.603277843385264</v>
      </c>
      <c r="T42" s="14">
        <f>'2018'!$D38</f>
        <v>41.846876348743088</v>
      </c>
      <c r="U42" s="14">
        <f>'2019'!$D38</f>
        <v>48.682138555222139</v>
      </c>
      <c r="V42" s="14">
        <f>'2020'!$D38</f>
        <v>47.34011087191184</v>
      </c>
      <c r="W42" s="14">
        <f>'2021'!$D38</f>
        <v>52.810777484333443</v>
      </c>
      <c r="X42" s="14">
        <f>'2022'!$D38</f>
        <v>56.172606613846689</v>
      </c>
    </row>
    <row r="43" spans="2:24" ht="20.100000000000001" customHeight="1" thickBot="1" x14ac:dyDescent="0.25">
      <c r="B43" s="9" t="s">
        <v>58</v>
      </c>
      <c r="C43" s="14">
        <f>'2001'!$D39</f>
        <v>11.998660569615293</v>
      </c>
      <c r="D43" s="14">
        <f>'2002'!$D39</f>
        <v>23.997168885530922</v>
      </c>
      <c r="E43" s="14">
        <f>'2003'!$D39</f>
        <v>27.547053283631833</v>
      </c>
      <c r="F43" s="14">
        <f>'2004'!$D39</f>
        <v>27.835273011487505</v>
      </c>
      <c r="G43" s="14">
        <f>'2005'!$D39</f>
        <v>30.146996810773988</v>
      </c>
      <c r="H43" s="14">
        <f>'2006'!$D39</f>
        <v>30.499071016978011</v>
      </c>
      <c r="I43" s="14">
        <f>'2007'!$D39</f>
        <v>34.076388976812197</v>
      </c>
      <c r="J43" s="14">
        <f>'2008'!$D39</f>
        <v>38.502700570409203</v>
      </c>
      <c r="K43" s="14">
        <f>'2009'!$D39</f>
        <v>44.98466556399849</v>
      </c>
      <c r="L43" s="14">
        <f>'2010'!$D39</f>
        <v>47.617595163349066</v>
      </c>
      <c r="M43" s="14">
        <f>'2011'!$D39</f>
        <v>40.212152217058467</v>
      </c>
      <c r="N43" s="14">
        <f>'2012'!$D39</f>
        <v>42.874575290525897</v>
      </c>
      <c r="O43" s="14">
        <f>'2013'!$D39</f>
        <v>38.123478670246755</v>
      </c>
      <c r="P43" s="14">
        <f>'2014'!$D39</f>
        <v>41.775893803335379</v>
      </c>
      <c r="Q43" s="14">
        <f>'2015'!$D39</f>
        <v>51.238496963490419</v>
      </c>
      <c r="R43" s="14">
        <f>'2016'!$D39</f>
        <v>41.957502370497835</v>
      </c>
      <c r="S43" s="14">
        <f>'2017'!$D39</f>
        <v>44.720266093597481</v>
      </c>
      <c r="T43" s="14">
        <f>'2018'!$D39</f>
        <v>49.878999628919019</v>
      </c>
      <c r="U43" s="14">
        <f>'2019'!$D39</f>
        <v>54.611058568651352</v>
      </c>
      <c r="V43" s="14">
        <f>'2020'!$D39</f>
        <v>53.756050247437713</v>
      </c>
      <c r="W43" s="14">
        <f>'2021'!$D39</f>
        <v>64.041019953190897</v>
      </c>
      <c r="X43" s="14">
        <f>'2022'!$D39</f>
        <v>68.546999659766769</v>
      </c>
    </row>
    <row r="44" spans="2:24" ht="20.100000000000001" customHeight="1" thickBot="1" x14ac:dyDescent="0.25">
      <c r="B44" s="9" t="s">
        <v>59</v>
      </c>
      <c r="C44" s="14">
        <f>'2001'!$D40</f>
        <v>17.347800712618255</v>
      </c>
      <c r="D44" s="14">
        <f>'2002'!$D40</f>
        <v>29.769700979691883</v>
      </c>
      <c r="E44" s="14">
        <f>'2003'!$D40</f>
        <v>32.706616529322346</v>
      </c>
      <c r="F44" s="14">
        <f>'2004'!$D40</f>
        <v>34.508289071302109</v>
      </c>
      <c r="G44" s="14">
        <f>'2005'!$D40</f>
        <v>34.719063938643558</v>
      </c>
      <c r="H44" s="14">
        <f>'2006'!$D40</f>
        <v>37.239646023870655</v>
      </c>
      <c r="I44" s="14">
        <f>'2007'!$D40</f>
        <v>39.470241966678593</v>
      </c>
      <c r="J44" s="14">
        <f>'2008'!$D40</f>
        <v>47.393237597560486</v>
      </c>
      <c r="K44" s="14">
        <f>'2009'!$D40</f>
        <v>54.232462142231213</v>
      </c>
      <c r="L44" s="14">
        <f>'2010'!$D40</f>
        <v>54.557869028558791</v>
      </c>
      <c r="M44" s="14">
        <f>'2011'!$D40</f>
        <v>49.8386359680335</v>
      </c>
      <c r="N44" s="14">
        <f>'2012'!$D40</f>
        <v>50.915911176541563</v>
      </c>
      <c r="O44" s="14">
        <f>'2013'!$D40</f>
        <v>43.497303991109497</v>
      </c>
      <c r="P44" s="14">
        <f>'2014'!$D40</f>
        <v>47.681581880776932</v>
      </c>
      <c r="Q44" s="14">
        <f>'2015'!$D40</f>
        <v>49.679767559069433</v>
      </c>
      <c r="R44" s="14">
        <f>'2016'!$D40</f>
        <v>44.956171308133932</v>
      </c>
      <c r="S44" s="14">
        <f>'2017'!$D40</f>
        <v>50.192718698159894</v>
      </c>
      <c r="T44" s="14">
        <f>'2018'!$D40</f>
        <v>54.903934566677293</v>
      </c>
      <c r="U44" s="14">
        <f>'2019'!$D40</f>
        <v>54.225426273555243</v>
      </c>
      <c r="V44" s="14">
        <f>'2020'!$D40</f>
        <v>51.275861250830403</v>
      </c>
      <c r="W44" s="14">
        <f>'2021'!$D40</f>
        <v>59.002707514694947</v>
      </c>
      <c r="X44" s="14">
        <f>'2022'!$D40</f>
        <v>61.307427058987962</v>
      </c>
    </row>
    <row r="45" spans="2:24" ht="20.100000000000001" customHeight="1" thickBot="1" x14ac:dyDescent="0.25">
      <c r="B45" s="9" t="s">
        <v>60</v>
      </c>
      <c r="C45" s="14">
        <f>'2001'!$D41</f>
        <v>12.657323976081546</v>
      </c>
      <c r="D45" s="14">
        <f>'2002'!$D41</f>
        <v>22.654570971472534</v>
      </c>
      <c r="E45" s="14">
        <f>'2003'!$D41</f>
        <v>24.703954366032949</v>
      </c>
      <c r="F45" s="14">
        <f>'2004'!$D41</f>
        <v>27.075895925987144</v>
      </c>
      <c r="G45" s="14">
        <f>'2005'!$D41</f>
        <v>28.60774731395307</v>
      </c>
      <c r="H45" s="14">
        <f>'2006'!$D41</f>
        <v>28.975279973962021</v>
      </c>
      <c r="I45" s="14">
        <f>'2007'!$D41</f>
        <v>30.02764853816166</v>
      </c>
      <c r="J45" s="14">
        <f>'2008'!$D41</f>
        <v>37.31131351109908</v>
      </c>
      <c r="K45" s="14">
        <f>'2009'!$D41</f>
        <v>45.93438044410032</v>
      </c>
      <c r="L45" s="14">
        <f>'2010'!$D41</f>
        <v>49.090308410722727</v>
      </c>
      <c r="M45" s="14">
        <f>'2011'!$D41</f>
        <v>42.231351045427118</v>
      </c>
      <c r="N45" s="14">
        <f>'2012'!$D41</f>
        <v>46.647934245267216</v>
      </c>
      <c r="O45" s="14">
        <f>'2013'!$D41</f>
        <v>41.904855069362497</v>
      </c>
      <c r="P45" s="14">
        <f>'2014'!$D41</f>
        <v>46.167281830465676</v>
      </c>
      <c r="Q45" s="14">
        <f>'2015'!$D41</f>
        <v>45.019791615551959</v>
      </c>
      <c r="R45" s="14">
        <f>'2016'!$D41</f>
        <v>42.398284599005905</v>
      </c>
      <c r="S45" s="14">
        <f>'2017'!$D41</f>
        <v>43.013100288177775</v>
      </c>
      <c r="T45" s="14">
        <f>'2018'!$D41</f>
        <v>46.780912392146412</v>
      </c>
      <c r="U45" s="14">
        <f>'2019'!$D41</f>
        <v>51.677557637803922</v>
      </c>
      <c r="V45" s="14">
        <f>'2020'!$D41</f>
        <v>48.217006969722433</v>
      </c>
      <c r="W45" s="14">
        <f>'2021'!$D41</f>
        <v>53.445998185034298</v>
      </c>
      <c r="X45" s="14">
        <f>'2022'!$D41</f>
        <v>59.095045986594542</v>
      </c>
    </row>
    <row r="46" spans="2:24" ht="20.100000000000001" customHeight="1" thickBot="1" x14ac:dyDescent="0.25">
      <c r="B46" s="9" t="s">
        <v>61</v>
      </c>
      <c r="C46" s="14">
        <f>'2001'!$D42</f>
        <v>10.146279727395134</v>
      </c>
      <c r="D46" s="14">
        <f>'2002'!$D42</f>
        <v>17.235810037427935</v>
      </c>
      <c r="E46" s="14">
        <f>'2003'!$D42</f>
        <v>18.472527282475227</v>
      </c>
      <c r="F46" s="14">
        <f>'2004'!$D42</f>
        <v>20.313510074666429</v>
      </c>
      <c r="G46" s="14">
        <f>'2005'!$D42</f>
        <v>21.728068047018226</v>
      </c>
      <c r="H46" s="14">
        <f>'2006'!$D42</f>
        <v>23.084565872591273</v>
      </c>
      <c r="I46" s="14">
        <f>'2007'!$D42</f>
        <v>23.313351246789772</v>
      </c>
      <c r="J46" s="14">
        <f>'2008'!$D42</f>
        <v>27.845971078876232</v>
      </c>
      <c r="K46" s="14">
        <f>'2009'!$D42</f>
        <v>34.067157433338934</v>
      </c>
      <c r="L46" s="14">
        <f>'2010'!$D42</f>
        <v>33.116980989882627</v>
      </c>
      <c r="M46" s="14">
        <f>'2011'!$D42</f>
        <v>29.656522612689646</v>
      </c>
      <c r="N46" s="14">
        <f>'2012'!$D42</f>
        <v>29.937973768396098</v>
      </c>
      <c r="O46" s="14">
        <f>'2013'!$D42</f>
        <v>27.938933429742256</v>
      </c>
      <c r="P46" s="14">
        <f>'2014'!$D42</f>
        <v>29.139031507982335</v>
      </c>
      <c r="Q46" s="14">
        <f>'2015'!$D42</f>
        <v>31.451607866649184</v>
      </c>
      <c r="R46" s="14">
        <f>'2016'!$D42</f>
        <v>28.749061495644249</v>
      </c>
      <c r="S46" s="14">
        <f>'2017'!$D42</f>
        <v>29.894253102292478</v>
      </c>
      <c r="T46" s="14">
        <f>'2018'!$D42</f>
        <v>31.416684940560941</v>
      </c>
      <c r="U46" s="14">
        <f>'2019'!$D42</f>
        <v>33.709153274005146</v>
      </c>
      <c r="V46" s="14">
        <f>'2020'!$D42</f>
        <v>30.900019207588663</v>
      </c>
      <c r="W46" s="14">
        <f>'2021'!$D42</f>
        <v>37.710664709608082</v>
      </c>
      <c r="X46" s="14">
        <f>'2022'!$D42</f>
        <v>41.030206927201348</v>
      </c>
    </row>
    <row r="47" spans="2:24" ht="20.100000000000001" customHeight="1" thickBot="1" x14ac:dyDescent="0.25">
      <c r="B47" s="9" t="s">
        <v>62</v>
      </c>
      <c r="C47" s="14">
        <f>'2001'!$D43</f>
        <v>18.544902690766431</v>
      </c>
      <c r="D47" s="14">
        <f>'2002'!$D43</f>
        <v>19.920411440273675</v>
      </c>
      <c r="E47" s="14">
        <f>'2003'!$D43</f>
        <v>22.205468523989445</v>
      </c>
      <c r="F47" s="14">
        <f>'2004'!$D43</f>
        <v>23.549776933973632</v>
      </c>
      <c r="G47" s="14">
        <f>'2005'!$D43</f>
        <v>25.4568479333245</v>
      </c>
      <c r="H47" s="14">
        <f>'2006'!$D43</f>
        <v>25.425855771530482</v>
      </c>
      <c r="I47" s="14">
        <f>'2007'!$D43</f>
        <v>28.252494613060435</v>
      </c>
      <c r="J47" s="14">
        <f>'2008'!$D43</f>
        <v>30.330349093570643</v>
      </c>
      <c r="K47" s="14">
        <f>'2009'!$D43</f>
        <v>34.015409275358863</v>
      </c>
      <c r="L47" s="14">
        <f>'2010'!$D43</f>
        <v>33.575065852472569</v>
      </c>
      <c r="M47" s="14">
        <f>'2011'!$D43</f>
        <v>32.443429545365888</v>
      </c>
      <c r="N47" s="14">
        <f>'2012'!$D43</f>
        <v>36.613909773297763</v>
      </c>
      <c r="O47" s="14">
        <f>'2013'!$D43</f>
        <v>40.08582167211469</v>
      </c>
      <c r="P47" s="14">
        <f>'2014'!$D43</f>
        <v>44.540216511062916</v>
      </c>
      <c r="Q47" s="14">
        <f>'2015'!$D43</f>
        <v>44.467337330514994</v>
      </c>
      <c r="R47" s="14">
        <f>'2016'!$D43</f>
        <v>39.840814602369996</v>
      </c>
      <c r="S47" s="14">
        <f>'2017'!$D43</f>
        <v>42.835600616016428</v>
      </c>
      <c r="T47" s="14">
        <f>'2018'!$D43</f>
        <v>43.599434840103079</v>
      </c>
      <c r="U47" s="14">
        <f>'2019'!$D43</f>
        <v>52.705825757107895</v>
      </c>
      <c r="V47" s="14">
        <f>'2020'!$D43</f>
        <v>50.520136963965435</v>
      </c>
      <c r="W47" s="14">
        <f>'2021'!$D43</f>
        <v>54.189887393807155</v>
      </c>
      <c r="X47" s="14">
        <f>'2022'!$D43</f>
        <v>53.98020463726521</v>
      </c>
    </row>
    <row r="48" spans="2:24" ht="20.100000000000001" customHeight="1" thickBot="1" x14ac:dyDescent="0.25">
      <c r="B48" s="9" t="s">
        <v>63</v>
      </c>
      <c r="C48" s="14">
        <f>'2001'!$D44</f>
        <v>21.771124080182695</v>
      </c>
      <c r="D48" s="14">
        <f>'2002'!$D44</f>
        <v>24.692689850958129</v>
      </c>
      <c r="E48" s="14">
        <f>'2003'!$D44</f>
        <v>29.146457808474295</v>
      </c>
      <c r="F48" s="14">
        <f>'2004'!$D44</f>
        <v>27.898155066383126</v>
      </c>
      <c r="G48" s="14">
        <f>'2005'!$D44</f>
        <v>31.019594053184683</v>
      </c>
      <c r="H48" s="14">
        <f>'2006'!$D44</f>
        <v>31.804242490745178</v>
      </c>
      <c r="I48" s="14">
        <f>'2007'!$D44</f>
        <v>30.268754220024121</v>
      </c>
      <c r="J48" s="14">
        <f>'2008'!$D44</f>
        <v>34.043608103589428</v>
      </c>
      <c r="K48" s="14">
        <f>'2009'!$D44</f>
        <v>39.254267019029925</v>
      </c>
      <c r="L48" s="14">
        <f>'2010'!$D44</f>
        <v>36.67613471682801</v>
      </c>
      <c r="M48" s="14">
        <f>'2011'!$D44</f>
        <v>37.10650791061817</v>
      </c>
      <c r="N48" s="14">
        <f>'2012'!$D44</f>
        <v>40.951772858540352</v>
      </c>
      <c r="O48" s="14">
        <f>'2013'!$D44</f>
        <v>39.839010387381251</v>
      </c>
      <c r="P48" s="14">
        <f>'2014'!$D44</f>
        <v>50.003281446700356</v>
      </c>
      <c r="Q48" s="14">
        <f>'2015'!$D44</f>
        <v>48.501821905020023</v>
      </c>
      <c r="R48" s="14">
        <f>'2016'!$D44</f>
        <v>44.544593182867274</v>
      </c>
      <c r="S48" s="14">
        <f>'2017'!$D44</f>
        <v>51.26996756227431</v>
      </c>
      <c r="T48" s="14">
        <f>'2018'!$D44</f>
        <v>50.229888604313885</v>
      </c>
      <c r="U48" s="14">
        <f>'2019'!$D44</f>
        <v>47.42204000496956</v>
      </c>
      <c r="V48" s="14">
        <f>'2020'!$D44</f>
        <v>43.469040238022473</v>
      </c>
      <c r="W48" s="14">
        <f>'2021'!$D44</f>
        <v>46.976238507318243</v>
      </c>
      <c r="X48" s="14">
        <f>'2022'!$D44</f>
        <v>45.436549084670347</v>
      </c>
    </row>
    <row r="49" spans="2:24" ht="20.100000000000001" customHeight="1" thickBot="1" x14ac:dyDescent="0.25">
      <c r="B49" s="9" t="s">
        <v>64</v>
      </c>
      <c r="C49" s="14">
        <f>'2001'!$D45</f>
        <v>17.884221433376812</v>
      </c>
      <c r="D49" s="14">
        <f>'2002'!$D45</f>
        <v>28.953657954422383</v>
      </c>
      <c r="E49" s="14">
        <f>'2003'!$D45</f>
        <v>38.940145323732196</v>
      </c>
      <c r="F49" s="14">
        <f>'2004'!$D45</f>
        <v>36.070296861197328</v>
      </c>
      <c r="G49" s="14">
        <f>'2005'!$D45</f>
        <v>40.959435849190854</v>
      </c>
      <c r="H49" s="14">
        <f>'2006'!$D45</f>
        <v>41.69945693458024</v>
      </c>
      <c r="I49" s="14">
        <f>'2007'!$D45</f>
        <v>41.665587147872962</v>
      </c>
      <c r="J49" s="14">
        <f>'2008'!$D45</f>
        <v>48.320984792978152</v>
      </c>
      <c r="K49" s="14">
        <f>'2009'!$D45</f>
        <v>54.883147423816474</v>
      </c>
      <c r="L49" s="14">
        <f>'2010'!$D45</f>
        <v>53.937951870750638</v>
      </c>
      <c r="M49" s="14">
        <f>'2011'!$D45</f>
        <v>48.321756094003533</v>
      </c>
      <c r="N49" s="14">
        <f>'2012'!$D45</f>
        <v>49.213626655935208</v>
      </c>
      <c r="O49" s="14">
        <f>'2013'!$D45</f>
        <v>40.613307967568055</v>
      </c>
      <c r="P49" s="14">
        <f>'2014'!$D45</f>
        <v>42.452594345411519</v>
      </c>
      <c r="Q49" s="14">
        <f>'2015'!$D45</f>
        <v>51.490978745564028</v>
      </c>
      <c r="R49" s="14">
        <f>'2016'!$D45</f>
        <v>48.865002732738198</v>
      </c>
      <c r="S49" s="14">
        <f>'2017'!$D45</f>
        <v>55.161384123291654</v>
      </c>
      <c r="T49" s="14">
        <f>'2018'!$D45</f>
        <v>61.107579958076947</v>
      </c>
      <c r="U49" s="14">
        <f>'2019'!$D45</f>
        <v>66.234025879904252</v>
      </c>
      <c r="V49" s="14">
        <f>'2020'!$D45</f>
        <v>63.169667525739023</v>
      </c>
      <c r="W49" s="14">
        <f>'2021'!$D45</f>
        <v>77.312348088989381</v>
      </c>
      <c r="X49" s="14">
        <f>'2022'!$D45</f>
        <v>91.197557195630822</v>
      </c>
    </row>
    <row r="50" spans="2:24" ht="20.100000000000001" customHeight="1" thickBot="1" x14ac:dyDescent="0.25">
      <c r="B50" s="9" t="s">
        <v>65</v>
      </c>
      <c r="C50" s="14">
        <f>'2001'!$D46</f>
        <v>16.032945634899843</v>
      </c>
      <c r="D50" s="14">
        <f>'2002'!$D46</f>
        <v>26.543208534525302</v>
      </c>
      <c r="E50" s="14">
        <f>'2003'!$D46</f>
        <v>29.933534938628977</v>
      </c>
      <c r="F50" s="14">
        <f>'2004'!$D46</f>
        <v>29.838946173239478</v>
      </c>
      <c r="G50" s="14">
        <f>'2005'!$D46</f>
        <v>33.667941652607716</v>
      </c>
      <c r="H50" s="14">
        <f>'2006'!$D46</f>
        <v>34.995658014859238</v>
      </c>
      <c r="I50" s="14">
        <f>'2007'!$D46</f>
        <v>36.400992361015113</v>
      </c>
      <c r="J50" s="14">
        <f>'2008'!$D46</f>
        <v>40</v>
      </c>
      <c r="K50" s="14">
        <f>'2009'!$D46</f>
        <v>45.689356966921039</v>
      </c>
      <c r="L50" s="14">
        <f>'2010'!$D46</f>
        <v>46.176927744391527</v>
      </c>
      <c r="M50" s="14">
        <f>'2011'!$D46</f>
        <v>44.723931537885917</v>
      </c>
      <c r="N50" s="14">
        <f>'2012'!$D46</f>
        <v>50.047577908825708</v>
      </c>
      <c r="O50" s="14">
        <f>'2013'!$D46</f>
        <v>47.087587037327893</v>
      </c>
      <c r="P50" s="14">
        <f>'2014'!$D46</f>
        <v>52.1095908273996</v>
      </c>
      <c r="Q50" s="14">
        <f>'2015'!$D46</f>
        <v>51.517141065724836</v>
      </c>
      <c r="R50" s="14">
        <f>'2016'!$D46</f>
        <v>48.162431989969775</v>
      </c>
      <c r="S50" s="14">
        <f>'2017'!$D46</f>
        <v>49.406458470125628</v>
      </c>
      <c r="T50" s="14">
        <f>'2018'!$D46</f>
        <v>46.634429564692944</v>
      </c>
      <c r="U50" s="14">
        <f>'2019'!$D46</f>
        <v>54.189982655556321</v>
      </c>
      <c r="V50" s="14">
        <f>'2020'!$D46</f>
        <v>53.272238017871651</v>
      </c>
      <c r="W50" s="14">
        <f>'2021'!$D46</f>
        <v>56.837256095946628</v>
      </c>
      <c r="X50" s="14">
        <f>'2022'!$D46</f>
        <v>58.970109343146859</v>
      </c>
    </row>
    <row r="51" spans="2:24" ht="20.100000000000001" customHeight="1" thickBot="1" x14ac:dyDescent="0.25">
      <c r="B51" s="9" t="s">
        <v>30</v>
      </c>
      <c r="C51" s="14">
        <f>'2001'!$D47</f>
        <v>20.625</v>
      </c>
      <c r="D51" s="14">
        <f>'2002'!$D47</f>
        <v>22.012399951706946</v>
      </c>
      <c r="E51" s="14">
        <f>'2003'!$D47</f>
        <v>24.802533143115625</v>
      </c>
      <c r="F51" s="14">
        <f>'2004'!$D47</f>
        <v>24.854114929842311</v>
      </c>
      <c r="G51" s="14">
        <f>'2005'!$D47</f>
        <v>29.393790437220176</v>
      </c>
      <c r="H51" s="14">
        <f>'2006'!$D47</f>
        <v>29.950028885980345</v>
      </c>
      <c r="I51" s="14">
        <f>'2007'!$D47</f>
        <v>31.148856839543253</v>
      </c>
      <c r="J51" s="14">
        <f>'2008'!$D47</f>
        <v>37.278622744495294</v>
      </c>
      <c r="K51" s="14">
        <f>'2009'!$D47</f>
        <v>44.301869431958771</v>
      </c>
      <c r="L51" s="14">
        <f>'2010'!$D47</f>
        <v>42.063799761177364</v>
      </c>
      <c r="M51" s="14">
        <f>'2011'!$D47</f>
        <v>36.83485315291604</v>
      </c>
      <c r="N51" s="14">
        <f>'2012'!$D47</f>
        <v>36.856206100571981</v>
      </c>
      <c r="O51" s="14">
        <f>'2013'!$D47</f>
        <v>34.553003319597423</v>
      </c>
      <c r="P51" s="14">
        <f>'2014'!$D47</f>
        <v>38.137691926696391</v>
      </c>
      <c r="Q51" s="14">
        <f>'2015'!$D47</f>
        <v>46.134242539890806</v>
      </c>
      <c r="R51" s="14">
        <f>'2016'!$D47</f>
        <v>35.820819901581409</v>
      </c>
      <c r="S51" s="14">
        <f>'2017'!$D47</f>
        <v>37.415063050722779</v>
      </c>
      <c r="T51" s="14">
        <f>'2018'!$D47</f>
        <v>40.392809059950899</v>
      </c>
      <c r="U51" s="14">
        <f>'2019'!$D47</f>
        <v>41.149249679606562</v>
      </c>
      <c r="V51" s="14">
        <f>'2020'!$D47</f>
        <v>37.42568315234719</v>
      </c>
      <c r="W51" s="14">
        <f>'2021'!$D47</f>
        <v>41.81102953132622</v>
      </c>
      <c r="X51" s="14">
        <f>'2022'!$D47</f>
        <v>46.010581745862986</v>
      </c>
    </row>
    <row r="52" spans="2:24" ht="20.100000000000001" customHeight="1" thickBot="1" x14ac:dyDescent="0.25">
      <c r="B52" s="9" t="s">
        <v>66</v>
      </c>
      <c r="C52" s="14">
        <f>'2001'!$D48</f>
        <v>20.970334857185282</v>
      </c>
      <c r="D52" s="14">
        <f>'2002'!$D48</f>
        <v>22.450449412306984</v>
      </c>
      <c r="E52" s="14">
        <f>'2003'!$D48</f>
        <v>25.012131357477369</v>
      </c>
      <c r="F52" s="14">
        <f>'2004'!$D48</f>
        <v>25.650741914161326</v>
      </c>
      <c r="G52" s="14">
        <f>'2005'!$D48</f>
        <v>25.464368611916669</v>
      </c>
      <c r="H52" s="14">
        <f>'2006'!$D48</f>
        <v>27.348418339894085</v>
      </c>
      <c r="I52" s="14">
        <f>'2007'!$D48</f>
        <v>27.746309695268781</v>
      </c>
      <c r="J52" s="14">
        <f>'2008'!$D48</f>
        <v>31.536145601068469</v>
      </c>
      <c r="K52" s="14">
        <f>'2009'!$D48</f>
        <v>35.895975274105488</v>
      </c>
      <c r="L52" s="14">
        <f>'2010'!$D48</f>
        <v>36.864534993877591</v>
      </c>
      <c r="M52" s="14">
        <f>'2011'!$D48</f>
        <v>36.412208982792514</v>
      </c>
      <c r="N52" s="14">
        <f>'2012'!$D48</f>
        <v>38.355335972889399</v>
      </c>
      <c r="O52" s="14">
        <f>'2013'!$D48</f>
        <v>35.456723812610697</v>
      </c>
      <c r="P52" s="14">
        <f>'2014'!$D48</f>
        <v>41.050169509342723</v>
      </c>
      <c r="Q52" s="14">
        <f>'2015'!$D48</f>
        <v>42.808526937639037</v>
      </c>
      <c r="R52" s="14">
        <f>'2016'!$D48</f>
        <v>39.037457029331669</v>
      </c>
      <c r="S52" s="14">
        <f>'2017'!$D48</f>
        <v>41.216655725518052</v>
      </c>
      <c r="T52" s="14">
        <f>'2018'!$D48</f>
        <v>44.407840155910137</v>
      </c>
      <c r="U52" s="14">
        <f>'2019'!$D48</f>
        <v>44.81111356813755</v>
      </c>
      <c r="V52" s="14">
        <f>'2020'!$D48</f>
        <v>38.536652037236713</v>
      </c>
      <c r="W52" s="14">
        <f>'2021'!$D48</f>
        <v>46.590985464565676</v>
      </c>
      <c r="X52" s="14">
        <f>'2022'!$D48</f>
        <v>50.510481520630051</v>
      </c>
    </row>
    <row r="53" spans="2:24" ht="20.100000000000001" customHeight="1" thickBot="1" x14ac:dyDescent="0.25">
      <c r="B53" s="9" t="s">
        <v>67</v>
      </c>
      <c r="C53" s="14">
        <f>'2001'!$D49</f>
        <v>25.851766089952473</v>
      </c>
      <c r="D53" s="14">
        <f>'2002'!$D49</f>
        <v>26.140393718957164</v>
      </c>
      <c r="E53" s="14">
        <f>'2003'!$D49</f>
        <v>29.263751800031027</v>
      </c>
      <c r="F53" s="14">
        <f>'2004'!$D49</f>
        <v>29.864973740106763</v>
      </c>
      <c r="G53" s="14">
        <f>'2005'!$D49</f>
        <v>32.57587164558656</v>
      </c>
      <c r="H53" s="14">
        <f>'2006'!$D49</f>
        <v>36.590449000511505</v>
      </c>
      <c r="I53" s="14">
        <f>'2007'!$D49</f>
        <v>36.024882600475699</v>
      </c>
      <c r="J53" s="14">
        <f>'2008'!$D49</f>
        <v>41.655731577356811</v>
      </c>
      <c r="K53" s="14">
        <f>'2009'!$D49</f>
        <v>49.254769767464651</v>
      </c>
      <c r="L53" s="14">
        <f>'2010'!$D49</f>
        <v>48.933081950435536</v>
      </c>
      <c r="M53" s="14">
        <f>'2011'!$D49</f>
        <v>41.574536142840913</v>
      </c>
      <c r="N53" s="14">
        <f>'2012'!$D49</f>
        <v>42.933335691983835</v>
      </c>
      <c r="O53" s="14">
        <f>'2013'!$D49</f>
        <v>35.162574187375412</v>
      </c>
      <c r="P53" s="14">
        <f>'2014'!$D49</f>
        <v>35.457230779030006</v>
      </c>
      <c r="Q53" s="14">
        <f>'2015'!$D49</f>
        <v>40.869348238347143</v>
      </c>
      <c r="R53" s="14">
        <f>'2016'!$D49</f>
        <v>38.372750775800604</v>
      </c>
      <c r="S53" s="14">
        <f>'2017'!$D49</f>
        <v>46.009441854787568</v>
      </c>
      <c r="T53" s="14">
        <f>'2018'!$D49</f>
        <v>49.668633592208224</v>
      </c>
      <c r="U53" s="14">
        <f>'2019'!$D49</f>
        <v>54.445232883793828</v>
      </c>
      <c r="V53" s="14">
        <f>'2020'!$D49</f>
        <v>50.975847149021853</v>
      </c>
      <c r="W53" s="14">
        <f>'2021'!$D49</f>
        <v>61.982659983435546</v>
      </c>
      <c r="X53" s="14">
        <f>'2022'!$D49</f>
        <v>68.044484658729132</v>
      </c>
    </row>
    <row r="54" spans="2:24" ht="20.100000000000001" customHeight="1" thickBot="1" x14ac:dyDescent="0.25">
      <c r="B54" s="9" t="s">
        <v>68</v>
      </c>
      <c r="C54" s="14">
        <f>'2001'!$D50</f>
        <v>20.016595478412277</v>
      </c>
      <c r="D54" s="14">
        <f>'2002'!$D50</f>
        <v>22.701391959058451</v>
      </c>
      <c r="E54" s="14">
        <f>'2003'!$D50</f>
        <v>26.18429871069203</v>
      </c>
      <c r="F54" s="14">
        <f>'2004'!$D50</f>
        <v>24.331761006289309</v>
      </c>
      <c r="G54" s="14">
        <f>'2005'!$D50</f>
        <v>26.299375630959958</v>
      </c>
      <c r="H54" s="14">
        <f>'2006'!$D50</f>
        <v>29.170232059157843</v>
      </c>
      <c r="I54" s="14">
        <f>'2007'!$D50</f>
        <v>29.895431892645082</v>
      </c>
      <c r="J54" s="14">
        <f>'2008'!$D50</f>
        <v>36.437074051702574</v>
      </c>
      <c r="K54" s="14">
        <f>'2009'!$D50</f>
        <v>38.033654021133849</v>
      </c>
      <c r="L54" s="14">
        <f>'2010'!$D50</f>
        <v>34.808970706406605</v>
      </c>
      <c r="M54" s="14">
        <f>'2011'!$D50</f>
        <v>34.184285705583875</v>
      </c>
      <c r="N54" s="14">
        <f>'2012'!$D50</f>
        <v>34.709623032235598</v>
      </c>
      <c r="O54" s="14">
        <f>'2013'!$D50</f>
        <v>31.496209075954532</v>
      </c>
      <c r="P54" s="14">
        <f>'2014'!$D50</f>
        <v>38.310640728674286</v>
      </c>
      <c r="Q54" s="14">
        <f>'2015'!$D50</f>
        <v>56.228977597258357</v>
      </c>
      <c r="R54" s="14">
        <f>'2016'!$D50</f>
        <v>41.759823195333183</v>
      </c>
      <c r="S54" s="14">
        <f>'2017'!$D50</f>
        <v>37.429305245680489</v>
      </c>
      <c r="T54" s="14">
        <f>'2018'!$D50</f>
        <v>41.358531909066009</v>
      </c>
      <c r="U54" s="14">
        <f>'2019'!$D50</f>
        <v>41.964618067119879</v>
      </c>
      <c r="V54" s="14">
        <f>'2020'!$D50</f>
        <v>35.39921031027248</v>
      </c>
      <c r="W54" s="14">
        <f>'2021'!$D50</f>
        <v>39.378379961343981</v>
      </c>
      <c r="X54" s="14">
        <f>'2022'!$D50</f>
        <v>46.413254980053757</v>
      </c>
    </row>
    <row r="55" spans="2:24" ht="20.100000000000001" customHeight="1" thickBot="1" x14ac:dyDescent="0.25">
      <c r="B55" s="9" t="s">
        <v>69</v>
      </c>
      <c r="C55" s="14">
        <f>'2001'!$D51</f>
        <v>9.6380936466524467</v>
      </c>
      <c r="D55" s="14">
        <f>'2002'!$D51</f>
        <v>23.198121360989809</v>
      </c>
      <c r="E55" s="14">
        <f>'2003'!$D51</f>
        <v>25.469161382092391</v>
      </c>
      <c r="F55" s="14">
        <f>'2004'!$D51</f>
        <v>26.68459401256402</v>
      </c>
      <c r="G55" s="14">
        <f>'2005'!$D51</f>
        <v>27.282530315760226</v>
      </c>
      <c r="H55" s="14">
        <f>'2006'!$D51</f>
        <v>30.274478945570134</v>
      </c>
      <c r="I55" s="14">
        <f>'2007'!$D51</f>
        <v>31.229113357285151</v>
      </c>
      <c r="J55" s="14">
        <f>'2008'!$D51</f>
        <v>35.53364450999274</v>
      </c>
      <c r="K55" s="14">
        <f>'2009'!$D51</f>
        <v>41.284080192650976</v>
      </c>
      <c r="L55" s="14">
        <f>'2010'!$D51</f>
        <v>42.072466860049332</v>
      </c>
      <c r="M55" s="14">
        <f>'2011'!$D51</f>
        <v>38.881014763380513</v>
      </c>
      <c r="N55" s="14">
        <f>'2012'!$D51</f>
        <v>41.160943880629652</v>
      </c>
      <c r="O55" s="14">
        <f>'2013'!$D51</f>
        <v>35.573885709431018</v>
      </c>
      <c r="P55" s="14">
        <f>'2014'!$D51</f>
        <v>40.605659449199138</v>
      </c>
      <c r="Q55" s="14">
        <f>'2015'!$D51</f>
        <v>41.479180831118526</v>
      </c>
      <c r="R55" s="14">
        <f>'2016'!$D51</f>
        <v>39.134951218569164</v>
      </c>
      <c r="S55" s="14">
        <f>'2017'!$D51</f>
        <v>44.987257202400379</v>
      </c>
      <c r="T55" s="14">
        <f>'2018'!$D51</f>
        <v>48.29817406890195</v>
      </c>
      <c r="U55" s="14">
        <f>'2019'!$D51</f>
        <v>49.142061657062513</v>
      </c>
      <c r="V55" s="14">
        <f>'2020'!$D51</f>
        <v>43.634073916826779</v>
      </c>
      <c r="W55" s="14">
        <f>'2021'!$D51</f>
        <v>51.139408948934516</v>
      </c>
      <c r="X55" s="14">
        <f>'2022'!$D51</f>
        <v>55.254711343572311</v>
      </c>
    </row>
    <row r="56" spans="2:24" ht="20.100000000000001" customHeight="1" thickBot="1" x14ac:dyDescent="0.25">
      <c r="B56" s="9" t="s">
        <v>70</v>
      </c>
      <c r="C56" s="14">
        <f>'2001'!$D52</f>
        <v>20.226909345773926</v>
      </c>
      <c r="D56" s="14">
        <f>'2002'!$D52</f>
        <v>24.222020614950758</v>
      </c>
      <c r="E56" s="14">
        <f>'2003'!$D52</f>
        <v>30.301031290542472</v>
      </c>
      <c r="F56" s="14">
        <f>'2004'!$D52</f>
        <v>30.626718456771265</v>
      </c>
      <c r="G56" s="14">
        <f>'2005'!$D52</f>
        <v>31.356105763530337</v>
      </c>
      <c r="H56" s="14">
        <f>'2006'!$D52</f>
        <v>32.843865972214793</v>
      </c>
      <c r="I56" s="14">
        <f>'2007'!$D52</f>
        <v>31.391236524099025</v>
      </c>
      <c r="J56" s="14">
        <f>'2008'!$D52</f>
        <v>32.732497939691058</v>
      </c>
      <c r="K56" s="14">
        <f>'2009'!$D52</f>
        <v>37.128947119378346</v>
      </c>
      <c r="L56" s="14">
        <f>'2010'!$D52</f>
        <v>36.395893258309009</v>
      </c>
      <c r="M56" s="14">
        <f>'2011'!$D52</f>
        <v>34.088403011877382</v>
      </c>
      <c r="N56" s="14">
        <f>'2012'!$D52</f>
        <v>37.229428069655739</v>
      </c>
      <c r="O56" s="14">
        <f>'2013'!$D52</f>
        <v>31.964498183104478</v>
      </c>
      <c r="P56" s="14">
        <f>'2014'!$D52</f>
        <v>34.482384706303336</v>
      </c>
      <c r="Q56" s="14">
        <f>'2015'!$D52</f>
        <v>37.99749467068105</v>
      </c>
      <c r="R56" s="14">
        <f>'2016'!$D52</f>
        <v>33.196357174589068</v>
      </c>
      <c r="S56" s="14">
        <f>'2017'!$D52</f>
        <v>36.939135912173946</v>
      </c>
      <c r="T56" s="14">
        <f>'2018'!$D52</f>
        <v>38.532731376975164</v>
      </c>
      <c r="U56" s="14">
        <f>'2019'!$D52</f>
        <v>41.40529807301774</v>
      </c>
      <c r="V56" s="14">
        <f>'2020'!$D52</f>
        <v>38.623374285585712</v>
      </c>
      <c r="W56" s="14">
        <f>'2021'!$D52</f>
        <v>48.655165808421692</v>
      </c>
      <c r="X56" s="14">
        <f>'2022'!$D52</f>
        <v>49.669284595535622</v>
      </c>
    </row>
    <row r="57" spans="2:24" ht="20.100000000000001" customHeight="1" thickBot="1" x14ac:dyDescent="0.25">
      <c r="B57" s="9" t="s">
        <v>71</v>
      </c>
      <c r="C57" s="14">
        <f>'2001'!$D53</f>
        <v>26.839365710047282</v>
      </c>
      <c r="D57" s="14">
        <f>'2002'!$D53</f>
        <v>25.418438547680765</v>
      </c>
      <c r="E57" s="14">
        <f>'2003'!$D53</f>
        <v>27.969162988860337</v>
      </c>
      <c r="F57" s="14">
        <f>'2004'!$D53</f>
        <v>29.22521004414487</v>
      </c>
      <c r="G57" s="14">
        <f>'2005'!$D53</f>
        <v>30.710434142376226</v>
      </c>
      <c r="H57" s="14">
        <f>'2006'!$D53</f>
        <v>32.668187157239345</v>
      </c>
      <c r="I57" s="14">
        <f>'2007'!$D53</f>
        <v>33.970928813201461</v>
      </c>
      <c r="J57" s="14">
        <f>'2008'!$D53</f>
        <v>39.248569201224498</v>
      </c>
      <c r="K57" s="14">
        <f>'2009'!$D53</f>
        <v>46.785700503298266</v>
      </c>
      <c r="L57" s="14">
        <f>'2010'!$D53</f>
        <v>46.600776823928157</v>
      </c>
      <c r="M57" s="14">
        <f>'2011'!$D53</f>
        <v>41.035197146663606</v>
      </c>
      <c r="N57" s="14">
        <f>'2012'!$D53</f>
        <v>45.016021881628447</v>
      </c>
      <c r="O57" s="14">
        <f>'2013'!$D53</f>
        <v>40.346689246066916</v>
      </c>
      <c r="P57" s="14">
        <f>'2014'!$D53</f>
        <v>43.129386912238033</v>
      </c>
      <c r="Q57" s="14">
        <f>'2015'!$D53</f>
        <v>37.966245797703692</v>
      </c>
      <c r="R57" s="14">
        <f>'2016'!$D53</f>
        <v>37.878376723938814</v>
      </c>
      <c r="S57" s="14">
        <f>'2017'!$D53</f>
        <v>45.635113610957781</v>
      </c>
      <c r="T57" s="14">
        <f>'2018'!$D53</f>
        <v>47.994602350540646</v>
      </c>
      <c r="U57" s="14">
        <f>'2019'!$D53</f>
        <v>49.321207361084873</v>
      </c>
      <c r="V57" s="14">
        <f>'2020'!$D53</f>
        <v>44.165323982702638</v>
      </c>
      <c r="W57" s="14">
        <f>'2021'!$D53</f>
        <v>53.218437351409264</v>
      </c>
      <c r="X57" s="14">
        <f>'2022'!$D53</f>
        <v>64.346857446531658</v>
      </c>
    </row>
    <row r="58" spans="2:24" ht="20.100000000000001" customHeight="1" thickBot="1" x14ac:dyDescent="0.25">
      <c r="B58" s="9" t="s">
        <v>72</v>
      </c>
      <c r="C58" s="14">
        <f>'2001'!$D54</f>
        <v>11.04724993210162</v>
      </c>
      <c r="D58" s="14">
        <f>'2002'!$D54</f>
        <v>11.788091042798271</v>
      </c>
      <c r="E58" s="14">
        <f>'2003'!$D54</f>
        <v>13.09432819462671</v>
      </c>
      <c r="F58" s="14">
        <f>'2004'!$D54</f>
        <v>14.275153768310451</v>
      </c>
      <c r="G58" s="14">
        <f>'2005'!$D54</f>
        <v>15.302180861996867</v>
      </c>
      <c r="H58" s="14">
        <f>'2006'!$D54</f>
        <v>15.559932470455824</v>
      </c>
      <c r="I58" s="14">
        <f>'2007'!$D54</f>
        <v>14.863307554531191</v>
      </c>
      <c r="J58" s="14">
        <f>'2008'!$D54</f>
        <v>18.725567917771521</v>
      </c>
      <c r="K58" s="14">
        <f>'2009'!$D54</f>
        <v>21.403602019747737</v>
      </c>
      <c r="L58" s="14">
        <f>'2010'!$D54</f>
        <v>21.462447600101875</v>
      </c>
      <c r="M58" s="14">
        <f>'2011'!$D54</f>
        <v>21.278361351801781</v>
      </c>
      <c r="N58" s="14">
        <f>'2012'!$D54</f>
        <v>22.382555938995878</v>
      </c>
      <c r="O58" s="14">
        <f>'2013'!$D54</f>
        <v>20.987037831526976</v>
      </c>
      <c r="P58" s="14">
        <f>'2014'!$D54</f>
        <v>24.272432586470988</v>
      </c>
      <c r="Q58" s="14">
        <f>'2015'!$D54</f>
        <v>23.284772406644976</v>
      </c>
      <c r="R58" s="14">
        <f>'2016'!$D54</f>
        <v>20.492491440168788</v>
      </c>
      <c r="S58" s="14">
        <f>'2017'!$D54</f>
        <v>22.203862439326656</v>
      </c>
      <c r="T58" s="14">
        <f>'2018'!$D54</f>
        <v>25.339595160954733</v>
      </c>
      <c r="U58" s="14">
        <f>'2019'!$D54</f>
        <v>27.032064232836579</v>
      </c>
      <c r="V58" s="14">
        <f>'2020'!$D54</f>
        <v>26.003160028619128</v>
      </c>
      <c r="W58" s="14">
        <f>'2021'!$D54</f>
        <v>30.443346092385447</v>
      </c>
      <c r="X58" s="14">
        <f>'2022'!$D54</f>
        <v>34.590657400869596</v>
      </c>
    </row>
    <row r="59" spans="2:24" ht="20.100000000000001" customHeight="1" thickBot="1" x14ac:dyDescent="0.25">
      <c r="B59" s="9" t="s">
        <v>73</v>
      </c>
      <c r="C59" s="14">
        <f>'2001'!$D55</f>
        <v>16.44187707854983</v>
      </c>
      <c r="D59" s="14">
        <f>'2002'!$D55</f>
        <v>16.71064043122345</v>
      </c>
      <c r="E59" s="14">
        <f>'2003'!$D55</f>
        <v>19.426424127906461</v>
      </c>
      <c r="F59" s="14">
        <f>'2004'!$D55</f>
        <v>20.342179012559249</v>
      </c>
      <c r="G59" s="14">
        <f>'2005'!$D55</f>
        <v>21.758243962450859</v>
      </c>
      <c r="H59" s="14">
        <f>'2006'!$D55</f>
        <v>22.793355619881162</v>
      </c>
      <c r="I59" s="14">
        <f>'2007'!$D55</f>
        <v>23.460768173652834</v>
      </c>
      <c r="J59" s="14">
        <f>'2008'!$D55</f>
        <v>28.516732989855313</v>
      </c>
      <c r="K59" s="14">
        <f>'2009'!$D55</f>
        <v>36.330812676270781</v>
      </c>
      <c r="L59" s="14">
        <f>'2010'!$D55</f>
        <v>34.91179281304489</v>
      </c>
      <c r="M59" s="14">
        <f>'2011'!$D55</f>
        <v>30.440782645827031</v>
      </c>
      <c r="N59" s="14">
        <f>'2012'!$D55</f>
        <v>32.279381576653336</v>
      </c>
      <c r="O59" s="14">
        <f>'2013'!$D55</f>
        <v>30.200719981540388</v>
      </c>
      <c r="P59" s="14">
        <f>'2014'!$D55</f>
        <v>36.753936287074332</v>
      </c>
      <c r="Q59" s="14">
        <f>'2015'!$D55</f>
        <v>39.42189679118394</v>
      </c>
      <c r="R59" s="14">
        <f>'2016'!$D55</f>
        <v>32.736919752799587</v>
      </c>
      <c r="S59" s="14">
        <f>'2017'!$D55</f>
        <v>39.86948944515543</v>
      </c>
      <c r="T59" s="14">
        <f>'2018'!$D55</f>
        <v>45.813809025721895</v>
      </c>
      <c r="U59" s="14">
        <f>'2019'!$D55</f>
        <v>46.92132334739884</v>
      </c>
      <c r="V59" s="14">
        <f>'2020'!$D55</f>
        <v>39.477273889839317</v>
      </c>
      <c r="W59" s="14">
        <f>'2021'!$D55</f>
        <v>48.022069261054718</v>
      </c>
      <c r="X59" s="14">
        <f>'2022'!$D55</f>
        <v>51.426340176176303</v>
      </c>
    </row>
    <row r="60" spans="2:24" ht="20.100000000000001" customHeight="1" thickBot="1" x14ac:dyDescent="0.25">
      <c r="B60" s="9" t="s">
        <v>74</v>
      </c>
      <c r="C60" s="14">
        <f>'2001'!$D56</f>
        <v>15.430793338631538</v>
      </c>
      <c r="D60" s="14">
        <f>'2002'!$D56</f>
        <v>26.737781603817062</v>
      </c>
      <c r="E60" s="14">
        <f>'2003'!$D56</f>
        <v>28.876906706339749</v>
      </c>
      <c r="F60" s="14">
        <f>'2004'!$D56</f>
        <v>30.337201065403264</v>
      </c>
      <c r="G60" s="14">
        <f>'2005'!$D56</f>
        <v>33.100667541715154</v>
      </c>
      <c r="H60" s="14">
        <f>'2006'!$D56</f>
        <v>34.463092914735888</v>
      </c>
      <c r="I60" s="14">
        <f>'2007'!$D56</f>
        <v>34.432972194058834</v>
      </c>
      <c r="J60" s="14">
        <f>'2008'!$D56</f>
        <v>40.38598479322777</v>
      </c>
      <c r="K60" s="14">
        <f>'2009'!$D56</f>
        <v>48.174586718294357</v>
      </c>
      <c r="L60" s="14">
        <f>'2010'!$D56</f>
        <v>48.928247790614023</v>
      </c>
      <c r="M60" s="14">
        <f>'2011'!$D56</f>
        <v>44.601602578644673</v>
      </c>
      <c r="N60" s="14">
        <f>'2012'!$D56</f>
        <v>46.47836788086758</v>
      </c>
      <c r="O60" s="14">
        <f>'2013'!$D56</f>
        <v>42.817499807128378</v>
      </c>
      <c r="P60" s="14">
        <f>'2014'!$D56</f>
        <v>46.291770011981647</v>
      </c>
      <c r="Q60" s="14">
        <f>'2015'!$D56</f>
        <v>54.511139988558241</v>
      </c>
      <c r="R60" s="14">
        <f>'2016'!$D56</f>
        <v>48.056726817657292</v>
      </c>
      <c r="S60" s="14">
        <f>'2017'!$D56</f>
        <v>46.274914817017468</v>
      </c>
      <c r="T60" s="14">
        <f>'2018'!$D56</f>
        <v>50.566604369097789</v>
      </c>
      <c r="U60" s="14">
        <f>'2019'!$D56</f>
        <v>54.107325805692042</v>
      </c>
      <c r="V60" s="14">
        <f>'2020'!$D56</f>
        <v>51.150229081263561</v>
      </c>
      <c r="W60" s="14">
        <f>'2021'!$D56</f>
        <v>57.941646275149537</v>
      </c>
      <c r="X60" s="14">
        <f>'2022'!$D56</f>
        <v>62.192196228187257</v>
      </c>
    </row>
    <row r="61" spans="2:24" ht="20.100000000000001" customHeight="1" thickBot="1" x14ac:dyDescent="0.25">
      <c r="B61" s="9" t="s">
        <v>75</v>
      </c>
      <c r="C61" s="14">
        <f>'2001'!$D57</f>
        <v>7.9142744110482548</v>
      </c>
      <c r="D61" s="14">
        <f>'2002'!$D57</f>
        <v>25.702524358634118</v>
      </c>
      <c r="E61" s="14">
        <f>'2003'!$D57</f>
        <v>29.136760273512646</v>
      </c>
      <c r="F61" s="14">
        <f>'2004'!$D57</f>
        <v>27.796101890330679</v>
      </c>
      <c r="G61" s="14">
        <f>'2005'!$D57</f>
        <v>29.645950640599683</v>
      </c>
      <c r="H61" s="14">
        <f>'2006'!$D57</f>
        <v>32.304347239956172</v>
      </c>
      <c r="I61" s="14">
        <f>'2007'!$D57</f>
        <v>33.95116752066955</v>
      </c>
      <c r="J61" s="14">
        <f>'2008'!$D57</f>
        <v>36.393777917239262</v>
      </c>
      <c r="K61" s="14">
        <f>'2009'!$D57</f>
        <v>46.774632680843069</v>
      </c>
      <c r="L61" s="14">
        <f>'2010'!$D57</f>
        <v>42.912825125552807</v>
      </c>
      <c r="M61" s="14">
        <f>'2011'!$D57</f>
        <v>40.594607328081004</v>
      </c>
      <c r="N61" s="14">
        <f>'2012'!$D57</f>
        <v>42.477727034513741</v>
      </c>
      <c r="O61" s="14">
        <f>'2013'!$D57</f>
        <v>40.972488370869684</v>
      </c>
      <c r="P61" s="14">
        <f>'2014'!$D57</f>
        <v>49.48814812995009</v>
      </c>
      <c r="Q61" s="14">
        <f>'2015'!$D57</f>
        <v>54.025552549174598</v>
      </c>
      <c r="R61" s="14">
        <f>'2016'!$D57</f>
        <v>45.268189100574972</v>
      </c>
      <c r="S61" s="14">
        <f>'2017'!$D57</f>
        <v>46.974843129353523</v>
      </c>
      <c r="T61" s="14">
        <f>'2018'!$D57</f>
        <v>49.119843955287187</v>
      </c>
      <c r="U61" s="14">
        <f>'2019'!$D57</f>
        <v>50.153403163531237</v>
      </c>
      <c r="V61" s="14">
        <f>'2020'!$D57</f>
        <v>49.407566325874051</v>
      </c>
      <c r="W61" s="14">
        <f>'2021'!$D57</f>
        <v>59.128428973296032</v>
      </c>
      <c r="X61" s="14">
        <f>'2022'!$D57</f>
        <v>60.768906406141397</v>
      </c>
    </row>
    <row r="62" spans="2:24" ht="20.100000000000001" customHeight="1" thickBot="1" x14ac:dyDescent="0.25">
      <c r="B62" s="9" t="s">
        <v>76</v>
      </c>
      <c r="C62" s="14">
        <f>'2001'!$D58</f>
        <v>17.988100179881002</v>
      </c>
      <c r="D62" s="14">
        <f>'2002'!$D58</f>
        <v>21.242986276522586</v>
      </c>
      <c r="E62" s="14">
        <f>'2003'!$D58</f>
        <v>22.550178278113858</v>
      </c>
      <c r="F62" s="14">
        <f>'2004'!$D58</f>
        <v>22.717656303519977</v>
      </c>
      <c r="G62" s="14">
        <f>'2005'!$D58</f>
        <v>25.075109192355271</v>
      </c>
      <c r="H62" s="14">
        <f>'2006'!$D58</f>
        <v>27.175784335568022</v>
      </c>
      <c r="I62" s="14">
        <f>'2007'!$D58</f>
        <v>28.605180569568592</v>
      </c>
      <c r="J62" s="14">
        <f>'2008'!$D58</f>
        <v>30.204694226274079</v>
      </c>
      <c r="K62" s="14">
        <f>'2009'!$D58</f>
        <v>37.124677382260494</v>
      </c>
      <c r="L62" s="14">
        <f>'2010'!$D58</f>
        <v>35.007774928686914</v>
      </c>
      <c r="M62" s="14">
        <f>'2011'!$D58</f>
        <v>34.729009271756048</v>
      </c>
      <c r="N62" s="14">
        <f>'2012'!$D58</f>
        <v>37.048827839592512</v>
      </c>
      <c r="O62" s="14">
        <f>'2013'!$D58</f>
        <v>40.043554469644661</v>
      </c>
      <c r="P62" s="14">
        <f>'2014'!$D58</f>
        <v>46.410544026920924</v>
      </c>
      <c r="Q62" s="14">
        <f>'2015'!$D58</f>
        <v>46.097821583549575</v>
      </c>
      <c r="R62" s="14">
        <f>'2016'!$D58</f>
        <v>38.446614857598966</v>
      </c>
      <c r="S62" s="14">
        <f>'2017'!$D58</f>
        <v>43.888525625126832</v>
      </c>
      <c r="T62" s="14">
        <f>'2018'!$D58</f>
        <v>42.675695649932109</v>
      </c>
      <c r="U62" s="14">
        <f>'2019'!$D58</f>
        <v>46.435878265203812</v>
      </c>
      <c r="V62" s="14">
        <f>'2020'!$D58</f>
        <v>41.339367364644644</v>
      </c>
      <c r="W62" s="14">
        <f>'2021'!$D58</f>
        <v>48.125648244184326</v>
      </c>
      <c r="X62" s="14">
        <f>'2022'!$D58</f>
        <v>49.25174099866647</v>
      </c>
    </row>
    <row r="63" spans="2:24" ht="20.100000000000001" customHeight="1" thickBot="1" x14ac:dyDescent="0.25">
      <c r="B63" s="9" t="s">
        <v>77</v>
      </c>
      <c r="C63" s="14">
        <f>'2001'!$D59</f>
        <v>7.3032364893623223</v>
      </c>
      <c r="D63" s="14">
        <f>'2002'!$D59</f>
        <v>23.900120407387895</v>
      </c>
      <c r="E63" s="14">
        <f>'2003'!$D59</f>
        <v>25.435225731095148</v>
      </c>
      <c r="F63" s="14">
        <f>'2004'!$D59</f>
        <v>27.383963893686964</v>
      </c>
      <c r="G63" s="14">
        <f>'2005'!$D59</f>
        <v>28.963722162285432</v>
      </c>
      <c r="H63" s="14">
        <f>'2006'!$D59</f>
        <v>30.617428768282153</v>
      </c>
      <c r="I63" s="14">
        <f>'2007'!$D59</f>
        <v>30.201543803659405</v>
      </c>
      <c r="J63" s="14">
        <f>'2008'!$D59</f>
        <v>35.307430052453469</v>
      </c>
      <c r="K63" s="14">
        <f>'2009'!$D59</f>
        <v>43.424132213007553</v>
      </c>
      <c r="L63" s="14">
        <f>'2010'!$D59</f>
        <v>40.703743737490399</v>
      </c>
      <c r="M63" s="14">
        <f>'2011'!$D59</f>
        <v>37.435594482829472</v>
      </c>
      <c r="N63" s="14">
        <f>'2012'!$D59</f>
        <v>37.387668305848912</v>
      </c>
      <c r="O63" s="14">
        <f>'2013'!$D59</f>
        <v>32.843605091974766</v>
      </c>
      <c r="P63" s="14">
        <f>'2014'!$D59</f>
        <v>39.171512460538416</v>
      </c>
      <c r="Q63" s="14">
        <f>'2015'!$D59</f>
        <v>40.998696660899618</v>
      </c>
      <c r="R63" s="14">
        <f>'2016'!$D59</f>
        <v>36.143868482820224</v>
      </c>
      <c r="S63" s="14">
        <f>'2017'!$D59</f>
        <v>42.123324306806815</v>
      </c>
      <c r="T63" s="14">
        <f>'2018'!$D59</f>
        <v>43.141522248905808</v>
      </c>
      <c r="U63" s="14">
        <f>'2019'!$D59</f>
        <v>43.566191524142916</v>
      </c>
      <c r="V63" s="14">
        <f>'2020'!$D59</f>
        <v>37.46730171264992</v>
      </c>
      <c r="W63" s="14">
        <f>'2021'!$D59</f>
        <v>46.401268486705284</v>
      </c>
      <c r="X63" s="14">
        <f>'2022'!$D59</f>
        <v>51.457850105224857</v>
      </c>
    </row>
    <row r="64" spans="2:24" ht="20.100000000000001" customHeight="1" thickBot="1" x14ac:dyDescent="0.25">
      <c r="B64" s="9" t="s">
        <v>78</v>
      </c>
      <c r="C64" s="14">
        <f>'2001'!$D60</f>
        <v>28.232092371918515</v>
      </c>
      <c r="D64" s="14">
        <f>'2002'!$D60</f>
        <v>28.745141296354657</v>
      </c>
      <c r="E64" s="14">
        <f>'2003'!$D60</f>
        <v>28.479534505078004</v>
      </c>
      <c r="F64" s="14">
        <f>'2004'!$D60</f>
        <v>26.897420098052351</v>
      </c>
      <c r="G64" s="14">
        <f>'2005'!$D60</f>
        <v>26.090653063393379</v>
      </c>
      <c r="H64" s="14">
        <f>'2006'!$D60</f>
        <v>26.245369821120207</v>
      </c>
      <c r="I64" s="14">
        <f>'2007'!$D60</f>
        <v>26.656919441797317</v>
      </c>
      <c r="J64" s="14">
        <f>'2008'!$D60</f>
        <v>27.484526224657248</v>
      </c>
      <c r="K64" s="14">
        <f>'2009'!$D60</f>
        <v>29.196430841192772</v>
      </c>
      <c r="L64" s="14">
        <f>'2010'!$D60</f>
        <v>26.284764020402339</v>
      </c>
      <c r="M64" s="14">
        <f>'2011'!$D60</f>
        <v>25.66281441196465</v>
      </c>
      <c r="N64" s="14">
        <f>'2012'!$D60</f>
        <v>28.815253874169823</v>
      </c>
      <c r="O64" s="14">
        <f>'2013'!$D60</f>
        <v>27.631266334046092</v>
      </c>
      <c r="P64" s="14">
        <f>'2014'!$D60</f>
        <v>32.143403599213777</v>
      </c>
      <c r="Q64" s="14">
        <f>'2015'!$D60</f>
        <v>36.777707890770564</v>
      </c>
      <c r="R64" s="14">
        <f>'2016'!$D60</f>
        <v>35.518640778996442</v>
      </c>
      <c r="S64" s="14">
        <f>'2017'!$D60</f>
        <v>43.173766169564146</v>
      </c>
      <c r="T64" s="14">
        <f>'2018'!$D60</f>
        <v>39.039744432960632</v>
      </c>
      <c r="U64" s="14">
        <f>'2019'!$D60</f>
        <v>42.900786769996579</v>
      </c>
      <c r="V64" s="14">
        <f>'2020'!$D60</f>
        <v>38.265124343839815</v>
      </c>
      <c r="W64" s="14">
        <f>'2021'!$D60</f>
        <v>49.367194702874869</v>
      </c>
      <c r="X64" s="14">
        <f>'2022'!$D60</f>
        <v>52.360597243674945</v>
      </c>
    </row>
    <row r="65" spans="2:24" ht="20.100000000000001" customHeight="1" thickBot="1" x14ac:dyDescent="0.25">
      <c r="B65" s="9" t="s">
        <v>79</v>
      </c>
      <c r="C65" s="14">
        <f>'2001'!$D61</f>
        <v>25.207518643969241</v>
      </c>
      <c r="D65" s="14">
        <f>'2002'!$D61</f>
        <v>26.133209990749307</v>
      </c>
      <c r="E65" s="14">
        <f>'2003'!$D61</f>
        <v>29.35892379825599</v>
      </c>
      <c r="F65" s="14">
        <f>'2004'!$D61</f>
        <v>30.830980945659846</v>
      </c>
      <c r="G65" s="14">
        <f>'2005'!$D61</f>
        <v>40.679208404593204</v>
      </c>
      <c r="H65" s="14">
        <f>'2006'!$D61</f>
        <v>38.118167815645045</v>
      </c>
      <c r="I65" s="14">
        <f>'2007'!$D61</f>
        <v>32.114055299539174</v>
      </c>
      <c r="J65" s="14">
        <f>'2008'!$D61</f>
        <v>35.102452133019817</v>
      </c>
      <c r="K65" s="14">
        <f>'2009'!$D61</f>
        <v>37.680370269534443</v>
      </c>
      <c r="L65" s="14">
        <f>'2010'!$D61</f>
        <v>32.275034852828995</v>
      </c>
      <c r="M65" s="14">
        <f>'2011'!$D61</f>
        <v>30.990366481472041</v>
      </c>
      <c r="N65" s="14">
        <f>'2012'!$D61</f>
        <v>32.994232816019405</v>
      </c>
      <c r="O65" s="14">
        <f>'2013'!$D61</f>
        <v>28.310567764911148</v>
      </c>
      <c r="P65" s="14">
        <f>'2014'!$D61</f>
        <v>29.996805074015786</v>
      </c>
      <c r="Q65" s="14">
        <f>'2015'!$D61</f>
        <v>32.342493924097965</v>
      </c>
      <c r="R65" s="14">
        <f>'2016'!$D61</f>
        <v>27.817171552786366</v>
      </c>
      <c r="S65" s="14">
        <f>'2017'!$D61</f>
        <v>34.138411518810962</v>
      </c>
      <c r="T65" s="14">
        <f>'2018'!$D61</f>
        <v>36.37247638451565</v>
      </c>
      <c r="U65" s="14">
        <f>'2019'!$D61</f>
        <v>39.081017956455881</v>
      </c>
      <c r="V65" s="14">
        <f>'2020'!$D61</f>
        <v>37.599338508888785</v>
      </c>
      <c r="W65" s="14">
        <f>'2021'!$D61</f>
        <v>44.92180707388043</v>
      </c>
      <c r="X65" s="14">
        <f>'2022'!$D61</f>
        <v>50.926838316272708</v>
      </c>
    </row>
    <row r="66" spans="2:24" ht="20.100000000000001" customHeight="1" thickBot="1" x14ac:dyDescent="0.25">
      <c r="B66" s="12" t="s">
        <v>6</v>
      </c>
      <c r="C66" s="15">
        <f>'2001'!$D62</f>
        <v>19.173805485220218</v>
      </c>
      <c r="D66" s="15">
        <f>'2002'!$D62</f>
        <v>21.509064691305092</v>
      </c>
      <c r="E66" s="15">
        <f>'2003'!$D62</f>
        <v>24.470213216779513</v>
      </c>
      <c r="F66" s="15">
        <f>'2004'!$D62</f>
        <v>25.710053385574017</v>
      </c>
      <c r="G66" s="15">
        <f>'2005'!$D62</f>
        <v>27.949718943508962</v>
      </c>
      <c r="H66" s="15">
        <f>'2006'!$D62</f>
        <v>29.518275006177515</v>
      </c>
      <c r="I66" s="15">
        <f>'2007'!$D62</f>
        <v>31.15895574632486</v>
      </c>
      <c r="J66" s="15">
        <f>'2008'!$D62</f>
        <v>36.684856944062602</v>
      </c>
      <c r="K66" s="15">
        <f>'2009'!$D62</f>
        <v>43.520790501925056</v>
      </c>
      <c r="L66" s="15">
        <f>'2010'!$D62</f>
        <v>44.173777571531403</v>
      </c>
      <c r="M66" s="15">
        <f>'2011'!$D62</f>
        <v>40.171749062293301</v>
      </c>
      <c r="N66" s="15">
        <f>'2012'!$D62</f>
        <v>42.419552534120619</v>
      </c>
      <c r="O66" s="15">
        <f>'2013'!$D62</f>
        <v>38.299749730160514</v>
      </c>
      <c r="P66" s="15">
        <f>'2014'!$D62</f>
        <v>41.684993076975736</v>
      </c>
      <c r="Q66" s="15">
        <f>'2015'!$D62</f>
        <v>44.534100349968952</v>
      </c>
      <c r="R66" s="15">
        <f>'2016'!$D62</f>
        <v>40.114719248841773</v>
      </c>
      <c r="S66" s="15">
        <f>'2017'!$D62</f>
        <v>43.838813305776945</v>
      </c>
      <c r="T66" s="15">
        <f>'2018'!$D62</f>
        <v>47.675276705381378</v>
      </c>
      <c r="U66" s="15">
        <f>'2019'!$D62</f>
        <v>50.698261701219884</v>
      </c>
      <c r="V66" s="15">
        <f>'2020'!$D62</f>
        <v>46.68355925332758</v>
      </c>
      <c r="W66" s="15">
        <f>'2021'!$D62</f>
        <v>54.597892962444931</v>
      </c>
      <c r="X66" s="15">
        <f>'2022'!$D62</f>
        <v>59.294853971734199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54"/>
  <sheetViews>
    <sheetView workbookViewId="0">
      <selection activeCell="E8" sqref="E8"/>
    </sheetView>
  </sheetViews>
  <sheetFormatPr baseColWidth="10" defaultRowHeight="12.75" x14ac:dyDescent="0.2"/>
  <cols>
    <col min="1" max="1" width="38.42578125" customWidth="1"/>
    <col min="2" max="2" width="10.140625" bestFit="1" customWidth="1"/>
  </cols>
  <sheetData>
    <row r="1" spans="1:5" ht="15" x14ac:dyDescent="0.25">
      <c r="A1" s="4" t="s">
        <v>80</v>
      </c>
      <c r="B1" s="7">
        <v>2018</v>
      </c>
      <c r="C1" s="7">
        <v>2019</v>
      </c>
      <c r="D1" s="7">
        <v>2020</v>
      </c>
      <c r="E1" s="7">
        <v>2021</v>
      </c>
    </row>
    <row r="2" spans="1:5" ht="15" x14ac:dyDescent="0.25">
      <c r="A2" s="5" t="s">
        <v>81</v>
      </c>
      <c r="B2" s="8">
        <v>328868</v>
      </c>
    </row>
    <row r="3" spans="1:5" ht="15" x14ac:dyDescent="0.25">
      <c r="A3" s="5" t="s">
        <v>82</v>
      </c>
      <c r="B3" s="8">
        <v>388786</v>
      </c>
    </row>
    <row r="4" spans="1:5" ht="15" x14ac:dyDescent="0.25">
      <c r="A4" s="5" t="s">
        <v>83</v>
      </c>
      <c r="B4" s="8">
        <v>1838819</v>
      </c>
    </row>
    <row r="5" spans="1:5" ht="15" x14ac:dyDescent="0.25">
      <c r="A5" s="5" t="s">
        <v>84</v>
      </c>
      <c r="B5" s="8">
        <v>709340</v>
      </c>
    </row>
    <row r="6" spans="1:5" ht="15" x14ac:dyDescent="0.25">
      <c r="A6" s="5" t="s">
        <v>85</v>
      </c>
      <c r="B6" s="8">
        <v>158498</v>
      </c>
    </row>
    <row r="7" spans="1:5" ht="15" x14ac:dyDescent="0.25">
      <c r="A7" s="5" t="s">
        <v>86</v>
      </c>
      <c r="B7" s="8">
        <v>676376</v>
      </c>
    </row>
    <row r="8" spans="1:5" ht="15" x14ac:dyDescent="0.25">
      <c r="A8" s="5" t="s">
        <v>87</v>
      </c>
      <c r="B8" s="8">
        <v>1128908</v>
      </c>
    </row>
    <row r="9" spans="1:5" ht="15" x14ac:dyDescent="0.25">
      <c r="A9" s="5" t="s">
        <v>88</v>
      </c>
      <c r="B9" s="8">
        <v>5609350</v>
      </c>
    </row>
    <row r="10" spans="1:5" ht="15" x14ac:dyDescent="0.25">
      <c r="A10" s="5" t="s">
        <v>89</v>
      </c>
      <c r="B10" s="8">
        <v>357070</v>
      </c>
    </row>
    <row r="11" spans="1:5" ht="15" x14ac:dyDescent="0.25">
      <c r="A11" s="5" t="s">
        <v>90</v>
      </c>
      <c r="B11" s="8">
        <v>396487</v>
      </c>
    </row>
    <row r="12" spans="1:5" ht="15" x14ac:dyDescent="0.25">
      <c r="A12" s="5" t="s">
        <v>91</v>
      </c>
      <c r="B12" s="8">
        <v>1238714</v>
      </c>
    </row>
    <row r="13" spans="1:5" ht="15" x14ac:dyDescent="0.25">
      <c r="A13" s="5" t="s">
        <v>92</v>
      </c>
      <c r="B13" s="8">
        <v>576898</v>
      </c>
    </row>
    <row r="14" spans="1:5" ht="15" x14ac:dyDescent="0.25">
      <c r="A14" s="5" t="s">
        <v>93</v>
      </c>
      <c r="B14" s="8">
        <v>499100</v>
      </c>
    </row>
    <row r="15" spans="1:5" ht="15" x14ac:dyDescent="0.25">
      <c r="A15" s="5" t="s">
        <v>94</v>
      </c>
      <c r="B15" s="8">
        <v>785240</v>
      </c>
    </row>
    <row r="16" spans="1:5" ht="15" x14ac:dyDescent="0.25">
      <c r="A16" s="5" t="s">
        <v>95</v>
      </c>
      <c r="B16" s="8">
        <v>1119351</v>
      </c>
    </row>
    <row r="17" spans="1:2" ht="15" x14ac:dyDescent="0.25">
      <c r="A17" s="5" t="s">
        <v>96</v>
      </c>
      <c r="B17" s="8">
        <v>197222</v>
      </c>
    </row>
    <row r="18" spans="1:2" ht="15" x14ac:dyDescent="0.25">
      <c r="A18" s="5" t="s">
        <v>97</v>
      </c>
      <c r="B18" s="8">
        <v>761947</v>
      </c>
    </row>
    <row r="19" spans="1:2" ht="15" x14ac:dyDescent="0.25">
      <c r="A19" s="5" t="s">
        <v>98</v>
      </c>
      <c r="B19" s="8">
        <v>912075</v>
      </c>
    </row>
    <row r="20" spans="1:2" ht="15" x14ac:dyDescent="0.25">
      <c r="A20" s="5" t="s">
        <v>99</v>
      </c>
      <c r="B20" s="8">
        <v>254308</v>
      </c>
    </row>
    <row r="21" spans="1:2" ht="15" x14ac:dyDescent="0.25">
      <c r="A21" s="5" t="s">
        <v>100</v>
      </c>
      <c r="B21" s="8">
        <v>720592</v>
      </c>
    </row>
    <row r="22" spans="1:2" ht="15" x14ac:dyDescent="0.25">
      <c r="A22" s="5" t="s">
        <v>101</v>
      </c>
      <c r="B22" s="8">
        <v>519932</v>
      </c>
    </row>
    <row r="23" spans="1:2" ht="15" x14ac:dyDescent="0.25">
      <c r="A23" s="5" t="s">
        <v>102</v>
      </c>
      <c r="B23" s="8">
        <v>219345</v>
      </c>
    </row>
    <row r="24" spans="1:2" ht="15" x14ac:dyDescent="0.25">
      <c r="A24" s="5" t="s">
        <v>103</v>
      </c>
      <c r="B24" s="8">
        <v>638099</v>
      </c>
    </row>
    <row r="25" spans="1:2" ht="15" x14ac:dyDescent="0.25">
      <c r="A25" s="5" t="s">
        <v>104</v>
      </c>
      <c r="B25" s="8">
        <v>463746</v>
      </c>
    </row>
    <row r="26" spans="1:2" ht="15" x14ac:dyDescent="0.25">
      <c r="A26" s="5" t="s">
        <v>105</v>
      </c>
      <c r="B26" s="8">
        <v>432866</v>
      </c>
    </row>
    <row r="27" spans="1:2" ht="15" x14ac:dyDescent="0.25">
      <c r="A27" s="5" t="s">
        <v>106</v>
      </c>
      <c r="B27" s="8">
        <v>315675</v>
      </c>
    </row>
    <row r="28" spans="1:2" ht="15" x14ac:dyDescent="0.25">
      <c r="A28" s="5" t="s">
        <v>107</v>
      </c>
      <c r="B28" s="8">
        <v>331327</v>
      </c>
    </row>
    <row r="29" spans="1:2" ht="15" x14ac:dyDescent="0.25">
      <c r="A29" s="5" t="s">
        <v>108</v>
      </c>
      <c r="B29" s="8">
        <v>6578079</v>
      </c>
    </row>
    <row r="30" spans="1:2" ht="15" x14ac:dyDescent="0.25">
      <c r="A30" s="5" t="s">
        <v>109</v>
      </c>
      <c r="B30" s="8">
        <v>1641121</v>
      </c>
    </row>
    <row r="31" spans="1:2" ht="15" x14ac:dyDescent="0.25">
      <c r="A31" s="5" t="s">
        <v>110</v>
      </c>
      <c r="B31" s="8">
        <v>1478509</v>
      </c>
    </row>
    <row r="32" spans="1:2" ht="15" x14ac:dyDescent="0.25">
      <c r="A32" s="5" t="s">
        <v>111</v>
      </c>
      <c r="B32" s="8">
        <v>647554</v>
      </c>
    </row>
    <row r="33" spans="1:2" ht="15" x14ac:dyDescent="0.25">
      <c r="A33" s="5" t="s">
        <v>112</v>
      </c>
      <c r="B33" s="8">
        <v>309293</v>
      </c>
    </row>
    <row r="34" spans="1:2" ht="15" x14ac:dyDescent="0.25">
      <c r="A34" s="5" t="s">
        <v>113</v>
      </c>
      <c r="B34" s="8">
        <v>1028244</v>
      </c>
    </row>
    <row r="35" spans="1:2" ht="15" x14ac:dyDescent="0.25">
      <c r="A35" s="5" t="s">
        <v>114</v>
      </c>
      <c r="B35" s="8">
        <v>162035</v>
      </c>
    </row>
    <row r="36" spans="1:2" ht="15" x14ac:dyDescent="0.25">
      <c r="A36" s="5" t="s">
        <v>115</v>
      </c>
      <c r="B36" s="8">
        <v>1109175</v>
      </c>
    </row>
    <row r="37" spans="1:2" ht="15" x14ac:dyDescent="0.25">
      <c r="A37" s="5" t="s">
        <v>116</v>
      </c>
      <c r="B37" s="8">
        <v>941772</v>
      </c>
    </row>
    <row r="38" spans="1:2" ht="15" x14ac:dyDescent="0.25">
      <c r="A38" s="5" t="s">
        <v>117</v>
      </c>
      <c r="B38" s="8">
        <v>331473</v>
      </c>
    </row>
    <row r="39" spans="1:2" ht="15" x14ac:dyDescent="0.25">
      <c r="A39" s="5" t="s">
        <v>118</v>
      </c>
      <c r="B39" s="8">
        <v>1018510</v>
      </c>
    </row>
    <row r="40" spans="1:2" ht="15" x14ac:dyDescent="0.25">
      <c r="A40" s="5" t="s">
        <v>119</v>
      </c>
      <c r="B40" s="8">
        <v>580229</v>
      </c>
    </row>
    <row r="41" spans="1:2" ht="15" x14ac:dyDescent="0.25">
      <c r="A41" s="5" t="s">
        <v>120</v>
      </c>
      <c r="B41" s="8">
        <v>153342</v>
      </c>
    </row>
    <row r="42" spans="1:2" ht="15" x14ac:dyDescent="0.25">
      <c r="A42" s="5" t="s">
        <v>121</v>
      </c>
      <c r="B42" s="8">
        <v>1939887</v>
      </c>
    </row>
    <row r="43" spans="1:2" ht="15" x14ac:dyDescent="0.25">
      <c r="A43" s="5" t="s">
        <v>122</v>
      </c>
      <c r="B43" s="8">
        <v>88600</v>
      </c>
    </row>
    <row r="44" spans="1:2" ht="15" x14ac:dyDescent="0.25">
      <c r="A44" s="5" t="s">
        <v>123</v>
      </c>
      <c r="B44" s="8">
        <v>795902</v>
      </c>
    </row>
    <row r="45" spans="1:2" ht="15" x14ac:dyDescent="0.25">
      <c r="A45" s="5" t="s">
        <v>124</v>
      </c>
      <c r="B45" s="8">
        <v>134572</v>
      </c>
    </row>
    <row r="46" spans="1:2" ht="15" x14ac:dyDescent="0.25">
      <c r="A46" s="5" t="s">
        <v>125</v>
      </c>
      <c r="B46" s="8">
        <v>687391</v>
      </c>
    </row>
    <row r="47" spans="1:2" ht="15" x14ac:dyDescent="0.25">
      <c r="A47" s="5" t="s">
        <v>126</v>
      </c>
      <c r="B47" s="8">
        <v>2547986</v>
      </c>
    </row>
    <row r="48" spans="1:2" ht="15" x14ac:dyDescent="0.25">
      <c r="A48" s="5" t="s">
        <v>127</v>
      </c>
      <c r="B48" s="8">
        <v>519851</v>
      </c>
    </row>
    <row r="49" spans="1:2" ht="15" x14ac:dyDescent="0.25">
      <c r="A49" s="5" t="s">
        <v>128</v>
      </c>
      <c r="B49" s="8">
        <v>1149628</v>
      </c>
    </row>
    <row r="50" spans="1:2" ht="15" x14ac:dyDescent="0.25">
      <c r="A50" s="5" t="s">
        <v>129</v>
      </c>
      <c r="B50" s="8">
        <v>174549</v>
      </c>
    </row>
    <row r="51" spans="1:2" ht="15" x14ac:dyDescent="0.25">
      <c r="A51" s="5" t="s">
        <v>130</v>
      </c>
      <c r="B51" s="8">
        <v>954811</v>
      </c>
    </row>
    <row r="52" spans="1:2" ht="15" x14ac:dyDescent="0.25">
      <c r="A52" s="5" t="s">
        <v>131</v>
      </c>
      <c r="B52" s="8">
        <v>85144</v>
      </c>
    </row>
    <row r="53" spans="1:2" ht="15" x14ac:dyDescent="0.25">
      <c r="A53" s="5" t="s">
        <v>132</v>
      </c>
      <c r="B53" s="8">
        <v>86384</v>
      </c>
    </row>
    <row r="54" spans="1:2" ht="15" x14ac:dyDescent="0.25">
      <c r="A54" s="6" t="s">
        <v>133</v>
      </c>
      <c r="B54" s="8">
        <f>SUM(B2:B53)</f>
        <v>46722980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/>
  <dimension ref="A1:X66"/>
  <sheetViews>
    <sheetView workbookViewId="0"/>
  </sheetViews>
  <sheetFormatPr baseColWidth="10" defaultColWidth="11.42578125" defaultRowHeight="12.75" x14ac:dyDescent="0.2"/>
  <cols>
    <col min="1" max="1" width="6.85546875" style="1" customWidth="1"/>
    <col min="2" max="2" width="32.140625" style="1" bestFit="1" customWidth="1"/>
    <col min="3" max="17" width="8.28515625" style="1" bestFit="1" customWidth="1"/>
    <col min="18" max="23" width="7.7109375" style="1" bestFit="1" customWidth="1"/>
    <col min="24" max="24" width="7" style="1" bestFit="1" customWidth="1"/>
    <col min="25" max="16384" width="11.42578125" style="1"/>
  </cols>
  <sheetData>
    <row r="1" spans="1:24" ht="15" thickBot="1" x14ac:dyDescent="0.25">
      <c r="A1" s="14"/>
    </row>
    <row r="12" spans="1:24" ht="18.75" thickBot="1" x14ac:dyDescent="0.3">
      <c r="D12" s="2"/>
    </row>
    <row r="13" spans="1:24" ht="20.100000000000001" customHeight="1" thickBot="1" x14ac:dyDescent="0.25">
      <c r="B13" s="10"/>
      <c r="C13" s="10">
        <v>2001</v>
      </c>
      <c r="D13" s="10">
        <v>2002</v>
      </c>
      <c r="E13" s="10">
        <v>2003</v>
      </c>
      <c r="F13" s="10">
        <v>2004</v>
      </c>
      <c r="G13" s="10">
        <v>2005</v>
      </c>
      <c r="H13" s="10">
        <v>2006</v>
      </c>
      <c r="I13" s="10">
        <v>2007</v>
      </c>
      <c r="J13" s="10">
        <v>2008</v>
      </c>
      <c r="K13" s="10">
        <v>2009</v>
      </c>
      <c r="L13" s="10">
        <v>2010</v>
      </c>
      <c r="M13" s="10">
        <v>2011</v>
      </c>
      <c r="N13" s="10">
        <v>2012</v>
      </c>
      <c r="O13" s="10">
        <v>2013</v>
      </c>
      <c r="P13" s="10">
        <v>2014</v>
      </c>
      <c r="Q13" s="10">
        <v>2015</v>
      </c>
      <c r="R13" s="10">
        <v>2016</v>
      </c>
      <c r="S13" s="10">
        <v>2017</v>
      </c>
      <c r="T13" s="10">
        <v>2018</v>
      </c>
      <c r="U13" s="10">
        <v>2019</v>
      </c>
      <c r="V13" s="10">
        <v>2020</v>
      </c>
      <c r="W13" s="10">
        <v>2021</v>
      </c>
      <c r="X13" s="10">
        <v>2022</v>
      </c>
    </row>
    <row r="14" spans="1:24" ht="20.100000000000001" customHeight="1" thickBot="1" x14ac:dyDescent="0.25">
      <c r="B14" s="9" t="s">
        <v>31</v>
      </c>
      <c r="C14" s="14">
        <f>'2001'!$E10</f>
        <v>79.611634625071133</v>
      </c>
      <c r="D14" s="14">
        <f>'2002'!$E10</f>
        <v>88.386629978993355</v>
      </c>
      <c r="E14" s="14">
        <f>'2003'!$E10</f>
        <v>82.051540806679483</v>
      </c>
      <c r="F14" s="14">
        <f>'2004'!$E10</f>
        <v>81.905821087474436</v>
      </c>
      <c r="G14" s="14">
        <f>'2005'!$E10</f>
        <v>89.507071547420963</v>
      </c>
      <c r="H14" s="14">
        <f>'2006'!$E10</f>
        <v>85.84112800458135</v>
      </c>
      <c r="I14" s="14">
        <f>'2007'!$E10</f>
        <v>97.638417790926013</v>
      </c>
      <c r="J14" s="14">
        <f>'2008'!$E10</f>
        <v>97.923737021784035</v>
      </c>
      <c r="K14" s="14">
        <f>'2009'!$E10</f>
        <v>92.636152969260976</v>
      </c>
      <c r="L14" s="14">
        <f>'2010'!$E10</f>
        <v>90.369994174496242</v>
      </c>
      <c r="M14" s="14">
        <f>'2011'!$E10</f>
        <v>93.987840464508167</v>
      </c>
      <c r="N14" s="14">
        <f>'2012'!$E10</f>
        <v>91.811328155060238</v>
      </c>
      <c r="O14" s="14">
        <f>'2013'!$E10</f>
        <v>91.335901621721618</v>
      </c>
      <c r="P14" s="14">
        <f>'2014'!$E10</f>
        <v>87.763579160022871</v>
      </c>
      <c r="Q14" s="14">
        <f>'2015'!$E10</f>
        <v>83.742206903543007</v>
      </c>
      <c r="R14" s="14">
        <f>'2016'!$E10</f>
        <v>47.169474494922447</v>
      </c>
      <c r="S14" s="14">
        <f>'2017'!$E10</f>
        <v>44.088690158756201</v>
      </c>
      <c r="T14" s="14">
        <f>'2018'!$E10</f>
        <v>45.39000889949741</v>
      </c>
      <c r="U14" s="14">
        <f>'2019'!$E10</f>
        <v>45.464967398052899</v>
      </c>
      <c r="V14" s="14">
        <f>'2020'!$E10</f>
        <v>38.663816416411265</v>
      </c>
      <c r="W14" s="14">
        <f>'2021'!$E10</f>
        <v>43.427072120559743</v>
      </c>
      <c r="X14" s="14">
        <f>'2022'!$E10</f>
        <v>48.082098203196161</v>
      </c>
    </row>
    <row r="15" spans="1:24" ht="20.100000000000001" customHeight="1" thickBot="1" x14ac:dyDescent="0.25">
      <c r="B15" s="9" t="s">
        <v>32</v>
      </c>
      <c r="C15" s="14">
        <f>'2001'!$E11</f>
        <v>188.05917068440849</v>
      </c>
      <c r="D15" s="14">
        <f>'2002'!$E11</f>
        <v>191.18171875160468</v>
      </c>
      <c r="E15" s="14">
        <f>'2003'!$E11</f>
        <v>172.30322682220532</v>
      </c>
      <c r="F15" s="14">
        <f>'2004'!$E11</f>
        <v>174.05071694105152</v>
      </c>
      <c r="G15" s="14">
        <f>'2005'!$E11</f>
        <v>164.48095664426407</v>
      </c>
      <c r="H15" s="14">
        <f>'2006'!$E11</f>
        <v>170.47918342860186</v>
      </c>
      <c r="I15" s="14">
        <f>'2007'!$E11</f>
        <v>167.99925928523214</v>
      </c>
      <c r="J15" s="14">
        <f>'2008'!$E11</f>
        <v>159.99348657160513</v>
      </c>
      <c r="K15" s="14">
        <f>'2009'!$E11</f>
        <v>153.6255380769656</v>
      </c>
      <c r="L15" s="14">
        <f>'2010'!$E11</f>
        <v>143.32199025585518</v>
      </c>
      <c r="M15" s="14">
        <f>'2011'!$E11</f>
        <v>141.56981418490099</v>
      </c>
      <c r="N15" s="14">
        <f>'2012'!$E11</f>
        <v>138.52081629293536</v>
      </c>
      <c r="O15" s="14">
        <f>'2013'!$E11</f>
        <v>134.6624918664379</v>
      </c>
      <c r="P15" s="14">
        <f>'2014'!$E11</f>
        <v>134.14306495586155</v>
      </c>
      <c r="Q15" s="14">
        <f>'2015'!$E11</f>
        <v>126.55690125371486</v>
      </c>
      <c r="R15" s="14">
        <f>'2016'!$E11</f>
        <v>66.367395079334742</v>
      </c>
      <c r="S15" s="14">
        <f>'2017'!$E11</f>
        <v>64.354868045922615</v>
      </c>
      <c r="T15" s="14">
        <f>'2018'!$E11</f>
        <v>63.321077278405333</v>
      </c>
      <c r="U15" s="14">
        <f>'2019'!$E11</f>
        <v>62.413547657131417</v>
      </c>
      <c r="V15" s="14">
        <f>'2020'!$E11</f>
        <v>53.250512796507024</v>
      </c>
      <c r="W15" s="14">
        <f>'2021'!$E11</f>
        <v>56.788265466089761</v>
      </c>
      <c r="X15" s="14">
        <f>'2022'!$E11</f>
        <v>61.322845290743466</v>
      </c>
    </row>
    <row r="16" spans="1:24" ht="20.100000000000001" customHeight="1" thickBot="1" x14ac:dyDescent="0.25">
      <c r="B16" s="9" t="s">
        <v>33</v>
      </c>
      <c r="C16" s="14">
        <f>'2001'!$E12</f>
        <v>154.96991567385891</v>
      </c>
      <c r="D16" s="14">
        <f>'2002'!$E12</f>
        <v>158.12317702901015</v>
      </c>
      <c r="E16" s="14">
        <f>'2003'!$E12</f>
        <v>149.86998284127293</v>
      </c>
      <c r="F16" s="14">
        <f>'2004'!$E12</f>
        <v>152.02119718589083</v>
      </c>
      <c r="G16" s="14">
        <f>'2005'!$E12</f>
        <v>158.91003813396702</v>
      </c>
      <c r="H16" s="14">
        <f>'2006'!$E12</f>
        <v>160.37430211527877</v>
      </c>
      <c r="I16" s="14">
        <f>'2007'!$E12</f>
        <v>154.78176956635369</v>
      </c>
      <c r="J16" s="14">
        <f>'2008'!$E12</f>
        <v>174.64033491353808</v>
      </c>
      <c r="K16" s="14">
        <f>'2009'!$E12</f>
        <v>193.804735647097</v>
      </c>
      <c r="L16" s="14">
        <f>'2010'!$E12</f>
        <v>168.70579101730979</v>
      </c>
      <c r="M16" s="14">
        <f>'2011'!$E12</f>
        <v>152.05906499397426</v>
      </c>
      <c r="N16" s="14">
        <f>'2012'!$E12</f>
        <v>167.42093013678982</v>
      </c>
      <c r="O16" s="14">
        <f>'2013'!$E12</f>
        <v>158.52052467436641</v>
      </c>
      <c r="P16" s="14">
        <f>'2014'!$E12</f>
        <v>148.12851295732577</v>
      </c>
      <c r="Q16" s="14">
        <f>'2015'!$E12</f>
        <v>139.73682671834868</v>
      </c>
      <c r="R16" s="14">
        <f>'2016'!$E12</f>
        <v>78.182925669142421</v>
      </c>
      <c r="S16" s="14">
        <f>'2017'!$E12</f>
        <v>73.048033599746418</v>
      </c>
      <c r="T16" s="14">
        <f>'2018'!$E12</f>
        <v>72.110694448360448</v>
      </c>
      <c r="U16" s="14">
        <f>'2019'!$E12</f>
        <v>70.743003822437998</v>
      </c>
      <c r="V16" s="14">
        <f>'2020'!$E12</f>
        <v>59.314920770113126</v>
      </c>
      <c r="W16" s="14">
        <f>'2021'!$E12</f>
        <v>63.959431095174587</v>
      </c>
      <c r="X16" s="14">
        <f>'2022'!$E12</f>
        <v>67.012211120099693</v>
      </c>
    </row>
    <row r="17" spans="2:24" ht="20.100000000000001" customHeight="1" thickBot="1" x14ac:dyDescent="0.25">
      <c r="B17" s="9" t="s">
        <v>34</v>
      </c>
      <c r="C17" s="14">
        <f>'2001'!$E13</f>
        <v>83.835134508107885</v>
      </c>
      <c r="D17" s="14">
        <f>'2002'!$E13</f>
        <v>91.084766668950863</v>
      </c>
      <c r="E17" s="14">
        <f>'2003'!$E13</f>
        <v>85.826878651990768</v>
      </c>
      <c r="F17" s="14">
        <f>'2004'!$E13</f>
        <v>82.894848008651422</v>
      </c>
      <c r="G17" s="14">
        <f>'2005'!$E13</f>
        <v>81.034948342595769</v>
      </c>
      <c r="H17" s="14">
        <f>'2006'!$E13</f>
        <v>76.667792770413939</v>
      </c>
      <c r="I17" s="14">
        <f>'2007'!$E13</f>
        <v>85.242209265400589</v>
      </c>
      <c r="J17" s="14">
        <f>'2008'!$E13</f>
        <v>94.798714615595784</v>
      </c>
      <c r="K17" s="14">
        <f>'2009'!$E13</f>
        <v>99.522336123689129</v>
      </c>
      <c r="L17" s="14">
        <f>'2010'!$E13</f>
        <v>95.893518868637983</v>
      </c>
      <c r="M17" s="14">
        <f>'2011'!$E13</f>
        <v>99.725273864679366</v>
      </c>
      <c r="N17" s="14">
        <f>'2012'!$E13</f>
        <v>92.941712627535608</v>
      </c>
      <c r="O17" s="14">
        <f>'2013'!$E13</f>
        <v>90.545926320014175</v>
      </c>
      <c r="P17" s="14">
        <f>'2014'!$E13</f>
        <v>90.29546612328069</v>
      </c>
      <c r="Q17" s="14">
        <f>'2015'!$E13</f>
        <v>87.304726122206844</v>
      </c>
      <c r="R17" s="14">
        <f>'2016'!$E13</f>
        <v>37.689046852150092</v>
      </c>
      <c r="S17" s="14">
        <f>'2017'!$E13</f>
        <v>37.357536117388399</v>
      </c>
      <c r="T17" s="14">
        <f>'2018'!$E13</f>
        <v>36.98140287288517</v>
      </c>
      <c r="U17" s="14">
        <f>'2019'!$E13</f>
        <v>35.436692615571154</v>
      </c>
      <c r="V17" s="14">
        <f>'2020'!$E13</f>
        <v>32.173444331317008</v>
      </c>
      <c r="W17" s="14">
        <f>'2021'!$E13</f>
        <v>36.990522321401805</v>
      </c>
      <c r="X17" s="14">
        <f>'2022'!$E13</f>
        <v>39.379424864968556</v>
      </c>
    </row>
    <row r="18" spans="2:24" ht="20.100000000000001" customHeight="1" thickBot="1" x14ac:dyDescent="0.25">
      <c r="B18" s="9" t="s">
        <v>35</v>
      </c>
      <c r="C18" s="14">
        <f>'2001'!$E14</f>
        <v>75.172342603984447</v>
      </c>
      <c r="D18" s="14">
        <f>'2002'!$E14</f>
        <v>80.166969126726883</v>
      </c>
      <c r="E18" s="14">
        <f>'2003'!$E14</f>
        <v>83.250494475911339</v>
      </c>
      <c r="F18" s="14">
        <f>'2004'!$E14</f>
        <v>82.421507206911031</v>
      </c>
      <c r="G18" s="14">
        <f>'2005'!$E14</f>
        <v>85.771872547334979</v>
      </c>
      <c r="H18" s="14">
        <f>'2006'!$E14</f>
        <v>89.964119097851594</v>
      </c>
      <c r="I18" s="14">
        <f>'2007'!$E14</f>
        <v>93.970202686484399</v>
      </c>
      <c r="J18" s="14">
        <f>'2008'!$E14</f>
        <v>96.113644737987187</v>
      </c>
      <c r="K18" s="14">
        <f>'2009'!$E14</f>
        <v>99.453693900887231</v>
      </c>
      <c r="L18" s="14">
        <f>'2010'!$E14</f>
        <v>95.854532845294983</v>
      </c>
      <c r="M18" s="14">
        <f>'2011'!$E14</f>
        <v>99.610073907499583</v>
      </c>
      <c r="N18" s="14">
        <f>'2012'!$E14</f>
        <v>98.951139823271689</v>
      </c>
      <c r="O18" s="14">
        <f>'2013'!$E14</f>
        <v>98.959430425074785</v>
      </c>
      <c r="P18" s="14">
        <f>'2014'!$E14</f>
        <v>93.816281706908171</v>
      </c>
      <c r="Q18" s="14">
        <f>'2015'!$E14</f>
        <v>86.524439489397636</v>
      </c>
      <c r="R18" s="14">
        <f>'2016'!$E14</f>
        <v>56.905375750042204</v>
      </c>
      <c r="S18" s="14">
        <f>'2017'!$E14</f>
        <v>54.381811857463092</v>
      </c>
      <c r="T18" s="14">
        <f>'2018'!$E14</f>
        <v>52.5196354172745</v>
      </c>
      <c r="U18" s="14">
        <f>'2019'!$E14</f>
        <v>53.816973015252245</v>
      </c>
      <c r="V18" s="14">
        <f>'2020'!$E14</f>
        <v>44.045646574740083</v>
      </c>
      <c r="W18" s="14">
        <f>'2021'!$E14</f>
        <v>51.001589259452537</v>
      </c>
      <c r="X18" s="14">
        <f>'2022'!$E14</f>
        <v>56.547195471005892</v>
      </c>
    </row>
    <row r="19" spans="2:24" ht="20.100000000000001" customHeight="1" thickBot="1" x14ac:dyDescent="0.25">
      <c r="B19" s="9" t="s">
        <v>36</v>
      </c>
      <c r="C19" s="14">
        <f>'2001'!$E15</f>
        <v>68.761631631937036</v>
      </c>
      <c r="D19" s="14">
        <f>'2002'!$E15</f>
        <v>74.670881323499145</v>
      </c>
      <c r="E19" s="14">
        <f>'2003'!$E15</f>
        <v>78.915881073241479</v>
      </c>
      <c r="F19" s="14">
        <f>'2004'!$E15</f>
        <v>84.017627085992245</v>
      </c>
      <c r="G19" s="14">
        <f>'2005'!$E15</f>
        <v>90.198285358494175</v>
      </c>
      <c r="H19" s="14">
        <f>'2006'!$E15</f>
        <v>91.307249520313675</v>
      </c>
      <c r="I19" s="14">
        <f>'2007'!$E15</f>
        <v>93.466478492392</v>
      </c>
      <c r="J19" s="14">
        <f>'2008'!$E15</f>
        <v>91.802229141809505</v>
      </c>
      <c r="K19" s="14">
        <f>'2009'!$E15</f>
        <v>102.02702702702703</v>
      </c>
      <c r="L19" s="14">
        <f>'2010'!$E15</f>
        <v>97.756783171219809</v>
      </c>
      <c r="M19" s="14">
        <f>'2011'!$E15</f>
        <v>93.77895126922364</v>
      </c>
      <c r="N19" s="14">
        <f>'2012'!$E15</f>
        <v>94.526026917350308</v>
      </c>
      <c r="O19" s="14">
        <f>'2013'!$E15</f>
        <v>89.489115948467358</v>
      </c>
      <c r="P19" s="14">
        <f>'2014'!$E15</f>
        <v>89.441068167529863</v>
      </c>
      <c r="Q19" s="14">
        <f>'2015'!$E15</f>
        <v>83.456116416552987</v>
      </c>
      <c r="R19" s="14">
        <f>'2016'!$E15</f>
        <v>52.617005304158411</v>
      </c>
      <c r="S19" s="14">
        <f>'2017'!$E15</f>
        <v>49.57685127566895</v>
      </c>
      <c r="T19" s="14">
        <f>'2018'!$E15</f>
        <v>51.205693447235923</v>
      </c>
      <c r="U19" s="14">
        <f>'2019'!$E15</f>
        <v>49.625729510276578</v>
      </c>
      <c r="V19" s="14">
        <f>'2020'!$E15</f>
        <v>39.406586157905416</v>
      </c>
      <c r="W19" s="14">
        <f>'2021'!$E15</f>
        <v>45.334898782358401</v>
      </c>
      <c r="X19" s="14">
        <f>'2022'!$E15</f>
        <v>50.561478591853351</v>
      </c>
    </row>
    <row r="20" spans="2:24" ht="20.100000000000001" customHeight="1" thickBot="1" x14ac:dyDescent="0.25">
      <c r="B20" s="9" t="s">
        <v>37</v>
      </c>
      <c r="C20" s="14">
        <f>'2001'!$E16</f>
        <v>124.50865711907096</v>
      </c>
      <c r="D20" s="14">
        <f>'2002'!$E16</f>
        <v>95.520874823478295</v>
      </c>
      <c r="E20" s="14">
        <f>'2003'!$E16</f>
        <v>93.780819191063159</v>
      </c>
      <c r="F20" s="14">
        <f>'2004'!$E16</f>
        <v>97.795437839661631</v>
      </c>
      <c r="G20" s="14">
        <f>'2005'!$E16</f>
        <v>98.701174886302525</v>
      </c>
      <c r="H20" s="14">
        <f>'2006'!$E16</f>
        <v>104.98697796796907</v>
      </c>
      <c r="I20" s="14">
        <f>'2007'!$E16</f>
        <v>105.22522363178911</v>
      </c>
      <c r="J20" s="14">
        <f>'2008'!$E16</f>
        <v>105.27898010349568</v>
      </c>
      <c r="K20" s="14">
        <f>'2009'!$E16</f>
        <v>112.0377132221314</v>
      </c>
      <c r="L20" s="14">
        <f>'2010'!$E16</f>
        <v>110.29897260224493</v>
      </c>
      <c r="M20" s="14">
        <f>'2011'!$E16</f>
        <v>107.17358316004272</v>
      </c>
      <c r="N20" s="14">
        <f>'2012'!$E16</f>
        <v>100.37823976686492</v>
      </c>
      <c r="O20" s="14">
        <f>'2013'!$E16</f>
        <v>104.925698651779</v>
      </c>
      <c r="P20" s="14">
        <f>'2014'!$E16</f>
        <v>104.92829219789587</v>
      </c>
      <c r="Q20" s="14">
        <f>'2015'!$E16</f>
        <v>97.665749275552258</v>
      </c>
      <c r="R20" s="14">
        <f>'2016'!$E16</f>
        <v>58.538574767618798</v>
      </c>
      <c r="S20" s="14">
        <f>'2017'!$E16</f>
        <v>55.577127862988391</v>
      </c>
      <c r="T20" s="14">
        <f>'2018'!$E16</f>
        <v>49.473961228665715</v>
      </c>
      <c r="U20" s="14">
        <f>'2019'!$E16</f>
        <v>51.204126141882156</v>
      </c>
      <c r="V20" s="14">
        <f>'2020'!$E16</f>
        <v>43.714302292538576</v>
      </c>
      <c r="W20" s="14">
        <f>'2021'!$E16</f>
        <v>50.69535766475655</v>
      </c>
      <c r="X20" s="14">
        <f>'2022'!$E16</f>
        <v>54.743463249858571</v>
      </c>
    </row>
    <row r="21" spans="2:24" ht="20.100000000000001" customHeight="1" thickBot="1" x14ac:dyDescent="0.25">
      <c r="B21" s="9" t="s">
        <v>29</v>
      </c>
      <c r="C21" s="14">
        <f>'2001'!$E17</f>
        <v>171.89205430745923</v>
      </c>
      <c r="D21" s="14">
        <f>'2002'!$E17</f>
        <v>175.22530775337853</v>
      </c>
      <c r="E21" s="14">
        <f>'2003'!$E17</f>
        <v>168.37615227985953</v>
      </c>
      <c r="F21" s="14">
        <f>'2004'!$E17</f>
        <v>157.75172897612154</v>
      </c>
      <c r="G21" s="14">
        <f>'2005'!$E17</f>
        <v>158.55567569326976</v>
      </c>
      <c r="H21" s="14">
        <f>'2006'!$E17</f>
        <v>161.72225096947042</v>
      </c>
      <c r="I21" s="14">
        <f>'2007'!$E17</f>
        <v>150.63309561926937</v>
      </c>
      <c r="J21" s="14">
        <f>'2008'!$E17</f>
        <v>149.98639131131833</v>
      </c>
      <c r="K21" s="14">
        <f>'2009'!$E17</f>
        <v>146.30198662438173</v>
      </c>
      <c r="L21" s="14">
        <f>'2010'!$E17</f>
        <v>141.3273733803837</v>
      </c>
      <c r="M21" s="14">
        <f>'2011'!$E17</f>
        <v>138.99025616423836</v>
      </c>
      <c r="N21" s="14">
        <f>'2012'!$E17</f>
        <v>144.23474615410041</v>
      </c>
      <c r="O21" s="14">
        <f>'2013'!$E17</f>
        <v>140.6761334707837</v>
      </c>
      <c r="P21" s="14">
        <f>'2014'!$E17</f>
        <v>139.10925993391587</v>
      </c>
      <c r="Q21" s="14">
        <f>'2015'!$E17</f>
        <v>132.87531949453091</v>
      </c>
      <c r="R21" s="14">
        <f>'2016'!$E17</f>
        <v>76.914253716515233</v>
      </c>
      <c r="S21" s="14">
        <f>'2017'!$E17</f>
        <v>76.566376851592167</v>
      </c>
      <c r="T21" s="14">
        <f>'2018'!$E17</f>
        <v>66.065613849844269</v>
      </c>
      <c r="U21" s="14">
        <f>'2019'!$E17</f>
        <v>66.866180641344627</v>
      </c>
      <c r="V21" s="14">
        <f>'2020'!$E17</f>
        <v>53.953632090328739</v>
      </c>
      <c r="W21" s="14">
        <f>'2021'!$E17</f>
        <v>59.574188752335871</v>
      </c>
      <c r="X21" s="14">
        <f>'2022'!$E17</f>
        <v>66.707984941279179</v>
      </c>
    </row>
    <row r="22" spans="2:24" ht="20.100000000000001" customHeight="1" thickBot="1" x14ac:dyDescent="0.25">
      <c r="B22" s="9" t="s">
        <v>38</v>
      </c>
      <c r="C22" s="14">
        <f>'2001'!$E18</f>
        <v>122.21335110516867</v>
      </c>
      <c r="D22" s="14">
        <f>'2002'!$E18</f>
        <v>125.0463452053834</v>
      </c>
      <c r="E22" s="14">
        <f>'2003'!$E18</f>
        <v>121.52970332889606</v>
      </c>
      <c r="F22" s="14">
        <f>'2004'!$E18</f>
        <v>120.18773380019285</v>
      </c>
      <c r="G22" s="14">
        <f>'2005'!$E18</f>
        <v>122.586032251164</v>
      </c>
      <c r="H22" s="14">
        <f>'2006'!$E18</f>
        <v>125.04266015545248</v>
      </c>
      <c r="I22" s="14">
        <f>'2007'!$E18</f>
        <v>126.90920772251282</v>
      </c>
      <c r="J22" s="14">
        <f>'2008'!$E18</f>
        <v>128.82799370140611</v>
      </c>
      <c r="K22" s="14">
        <f>'2009'!$E18</f>
        <v>133.77527248409464</v>
      </c>
      <c r="L22" s="14">
        <f>'2010'!$E18</f>
        <v>130.78348300272157</v>
      </c>
      <c r="M22" s="14">
        <f>'2011'!$E18</f>
        <v>127.59366399480277</v>
      </c>
      <c r="N22" s="14">
        <f>'2012'!$E18</f>
        <v>125.99976585225278</v>
      </c>
      <c r="O22" s="14">
        <f>'2013'!$E18</f>
        <v>122.63421721102523</v>
      </c>
      <c r="P22" s="14">
        <f>'2014'!$E18</f>
        <v>118.94654099436183</v>
      </c>
      <c r="Q22" s="14">
        <f>'2015'!$E18</f>
        <v>113.07799060160515</v>
      </c>
      <c r="R22" s="14">
        <f>'2016'!$E18</f>
        <v>58.366530270555039</v>
      </c>
      <c r="S22" s="14">
        <f>'2017'!$E18</f>
        <v>57.935949851121862</v>
      </c>
      <c r="T22" s="14">
        <f>'2018'!$E18</f>
        <v>58.79379963810424</v>
      </c>
      <c r="U22" s="14">
        <f>'2019'!$E18</f>
        <v>64.256849449888506</v>
      </c>
      <c r="V22" s="14">
        <f>'2020'!$E18</f>
        <v>52.513127237132281</v>
      </c>
      <c r="W22" s="14">
        <f>'2021'!$E18</f>
        <v>58.430582022247769</v>
      </c>
      <c r="X22" s="14">
        <f>'2022'!$E18</f>
        <v>64.319574153109599</v>
      </c>
    </row>
    <row r="23" spans="2:24" ht="20.100000000000001" customHeight="1" thickBot="1" x14ac:dyDescent="0.25">
      <c r="B23" s="9" t="s">
        <v>39</v>
      </c>
      <c r="C23" s="14">
        <f>'2001'!$E19</f>
        <v>88.956892715624704</v>
      </c>
      <c r="D23" s="14">
        <f>'2002'!$E19</f>
        <v>91.708103796923353</v>
      </c>
      <c r="E23" s="14">
        <f>'2003'!$E19</f>
        <v>87.214185638611355</v>
      </c>
      <c r="F23" s="14">
        <f>'2004'!$E19</f>
        <v>85.451789760614929</v>
      </c>
      <c r="G23" s="14">
        <f>'2005'!$E19</f>
        <v>86.429891012083473</v>
      </c>
      <c r="H23" s="14">
        <f>'2006'!$E19</f>
        <v>83.726728562993969</v>
      </c>
      <c r="I23" s="14">
        <f>'2007'!$E19</f>
        <v>85.946294954606259</v>
      </c>
      <c r="J23" s="14">
        <f>'2008'!$E19</f>
        <v>91.789142034209064</v>
      </c>
      <c r="K23" s="14">
        <f>'2009'!$E19</f>
        <v>93.432744144403628</v>
      </c>
      <c r="L23" s="14">
        <f>'2010'!$E19</f>
        <v>88.52377171663241</v>
      </c>
      <c r="M23" s="14">
        <f>'2011'!$E19</f>
        <v>86.9271794090876</v>
      </c>
      <c r="N23" s="14">
        <f>'2012'!$E19</f>
        <v>89.057775161229898</v>
      </c>
      <c r="O23" s="14">
        <f>'2013'!$E19</f>
        <v>86.342045938983802</v>
      </c>
      <c r="P23" s="14">
        <f>'2014'!$E19</f>
        <v>82.161289342437087</v>
      </c>
      <c r="Q23" s="14">
        <f>'2015'!$E19</f>
        <v>76.188113425170286</v>
      </c>
      <c r="R23" s="14">
        <f>'2016'!$E19</f>
        <v>38.856685744560707</v>
      </c>
      <c r="S23" s="14">
        <f>'2017'!$E19</f>
        <v>37.891599944962209</v>
      </c>
      <c r="T23" s="14">
        <f>'2018'!$E19</f>
        <v>38.124506362057993</v>
      </c>
      <c r="U23" s="14">
        <f>'2019'!$E19</f>
        <v>38.987516603030748</v>
      </c>
      <c r="V23" s="14">
        <f>'2020'!$E19</f>
        <v>34.16209334999651</v>
      </c>
      <c r="W23" s="14">
        <f>'2021'!$E19</f>
        <v>38.824118496033215</v>
      </c>
      <c r="X23" s="14">
        <f>'2022'!$E19</f>
        <v>43.028274312287429</v>
      </c>
    </row>
    <row r="24" spans="2:24" ht="20.100000000000001" customHeight="1" thickBot="1" x14ac:dyDescent="0.25">
      <c r="B24" s="9" t="s">
        <v>40</v>
      </c>
      <c r="C24" s="14">
        <f>'2001'!$E20</f>
        <v>144.74143106257682</v>
      </c>
      <c r="D24" s="14">
        <f>'2002'!$E20</f>
        <v>99.069241302665276</v>
      </c>
      <c r="E24" s="14">
        <f>'2003'!$E20</f>
        <v>98.633183654509367</v>
      </c>
      <c r="F24" s="14">
        <f>'2004'!$E20</f>
        <v>95.885107326119339</v>
      </c>
      <c r="G24" s="14">
        <f>'2005'!$E20</f>
        <v>97.096844781882496</v>
      </c>
      <c r="H24" s="14">
        <f>'2006'!$E20</f>
        <v>104.33831491120553</v>
      </c>
      <c r="I24" s="14">
        <f>'2007'!$E20</f>
        <v>112.60697539702491</v>
      </c>
      <c r="J24" s="14">
        <f>'2008'!$E20</f>
        <v>110.96630199747372</v>
      </c>
      <c r="K24" s="14">
        <f>'2009'!$E20</f>
        <v>114.29240899662641</v>
      </c>
      <c r="L24" s="14">
        <f>'2010'!$E20</f>
        <v>105.90247208037863</v>
      </c>
      <c r="M24" s="14">
        <f>'2011'!$E20</f>
        <v>99.447102010610749</v>
      </c>
      <c r="N24" s="14">
        <f>'2012'!$E20</f>
        <v>93.802170840333886</v>
      </c>
      <c r="O24" s="14">
        <f>'2013'!$E20</f>
        <v>90.836852993147431</v>
      </c>
      <c r="P24" s="14">
        <f>'2014'!$E20</f>
        <v>93.033524121013897</v>
      </c>
      <c r="Q24" s="14">
        <f>'2015'!$E20</f>
        <v>89.507749957417829</v>
      </c>
      <c r="R24" s="14">
        <f>'2016'!$E20</f>
        <v>54.884416681671489</v>
      </c>
      <c r="S24" s="14">
        <f>'2017'!$E20</f>
        <v>52.600573469097164</v>
      </c>
      <c r="T24" s="14">
        <f>'2018'!$E20</f>
        <v>50.429887697090201</v>
      </c>
      <c r="U24" s="14">
        <f>'2019'!$E20</f>
        <v>49.776164142560191</v>
      </c>
      <c r="V24" s="14">
        <f>'2020'!$E20</f>
        <v>42.837970082482876</v>
      </c>
      <c r="W24" s="14">
        <f>'2021'!$E20</f>
        <v>48.590807599949443</v>
      </c>
      <c r="X24" s="14">
        <f>'2022'!$E20</f>
        <v>52.166097934307906</v>
      </c>
    </row>
    <row r="25" spans="2:24" ht="20.100000000000001" customHeight="1" thickBot="1" x14ac:dyDescent="0.25">
      <c r="B25" s="9" t="s">
        <v>41</v>
      </c>
      <c r="C25" s="14">
        <f>'2001'!$E21</f>
        <v>67.863515264096975</v>
      </c>
      <c r="D25" s="14">
        <f>'2002'!$E21</f>
        <v>72.852121430765251</v>
      </c>
      <c r="E25" s="14">
        <f>'2003'!$E21</f>
        <v>71.457437640288049</v>
      </c>
      <c r="F25" s="14">
        <f>'2004'!$E21</f>
        <v>71.341063224677313</v>
      </c>
      <c r="G25" s="14">
        <f>'2005'!$E21</f>
        <v>78.573852343787877</v>
      </c>
      <c r="H25" s="14">
        <f>'2006'!$E21</f>
        <v>82.925848694232727</v>
      </c>
      <c r="I25" s="14">
        <f>'2007'!$E21</f>
        <v>82.649909727335242</v>
      </c>
      <c r="J25" s="14">
        <f>'2008'!$E21</f>
        <v>86.553146924348724</v>
      </c>
      <c r="K25" s="14">
        <f>'2009'!$E21</f>
        <v>92.988228695486086</v>
      </c>
      <c r="L25" s="14">
        <f>'2010'!$E21</f>
        <v>83.742287687040914</v>
      </c>
      <c r="M25" s="14">
        <f>'2011'!$E21</f>
        <v>85.255364114710446</v>
      </c>
      <c r="N25" s="14">
        <f>'2012'!$E21</f>
        <v>87.715819989023132</v>
      </c>
      <c r="O25" s="14">
        <f>'2013'!$E21</f>
        <v>86.200719029918957</v>
      </c>
      <c r="P25" s="14">
        <f>'2014'!$E21</f>
        <v>84.988365634702959</v>
      </c>
      <c r="Q25" s="14">
        <f>'2015'!$E21</f>
        <v>87.516337777865303</v>
      </c>
      <c r="R25" s="14">
        <f>'2016'!$E21</f>
        <v>49.699627166090693</v>
      </c>
      <c r="S25" s="14">
        <f>'2017'!$E21</f>
        <v>47.238248557629817</v>
      </c>
      <c r="T25" s="14">
        <f>'2018'!$E21</f>
        <v>44.75808790704361</v>
      </c>
      <c r="U25" s="14">
        <f>'2019'!$E21</f>
        <v>49.815933487419798</v>
      </c>
      <c r="V25" s="14">
        <f>'2020'!$E21</f>
        <v>39.59168048998341</v>
      </c>
      <c r="W25" s="14">
        <f>'2021'!$E21</f>
        <v>45.615800471303373</v>
      </c>
      <c r="X25" s="14">
        <f>'2022'!$E21</f>
        <v>50.477720904204247</v>
      </c>
    </row>
    <row r="26" spans="2:24" ht="20.100000000000001" customHeight="1" thickBot="1" x14ac:dyDescent="0.25">
      <c r="B26" s="9" t="s">
        <v>42</v>
      </c>
      <c r="C26" s="14">
        <f>'2001'!$E22</f>
        <v>133.87239624305917</v>
      </c>
      <c r="D26" s="14">
        <f>'2002'!$E22</f>
        <v>135.07358477830772</v>
      </c>
      <c r="E26" s="14">
        <f>'2003'!$E22</f>
        <v>135.87327078091309</v>
      </c>
      <c r="F26" s="14">
        <f>'2004'!$E22</f>
        <v>131.99023681394468</v>
      </c>
      <c r="G26" s="14">
        <f>'2005'!$E22</f>
        <v>135.17844001229656</v>
      </c>
      <c r="H26" s="14">
        <f>'2006'!$E22</f>
        <v>142.4490520592733</v>
      </c>
      <c r="I26" s="14">
        <f>'2007'!$E22</f>
        <v>140.47292277339579</v>
      </c>
      <c r="J26" s="14">
        <f>'2008'!$E22</f>
        <v>149.67877050342204</v>
      </c>
      <c r="K26" s="14">
        <f>'2009'!$E22</f>
        <v>150.89542123559843</v>
      </c>
      <c r="L26" s="14">
        <f>'2010'!$E22</f>
        <v>150.55238008989772</v>
      </c>
      <c r="M26" s="14">
        <f>'2011'!$E22</f>
        <v>144.59771020788583</v>
      </c>
      <c r="N26" s="14">
        <f>'2012'!$E22</f>
        <v>149.05024559013913</v>
      </c>
      <c r="O26" s="14">
        <f>'2013'!$E22</f>
        <v>146.99893095797148</v>
      </c>
      <c r="P26" s="14">
        <f>'2014'!$E22</f>
        <v>143.52813111052876</v>
      </c>
      <c r="Q26" s="14">
        <f>'2015'!$E22</f>
        <v>133.68954207262206</v>
      </c>
      <c r="R26" s="14">
        <f>'2016'!$E22</f>
        <v>81.166943169912798</v>
      </c>
      <c r="S26" s="14">
        <f>'2017'!$E22</f>
        <v>72.919515747094451</v>
      </c>
      <c r="T26" s="14">
        <f>'2018'!$E22</f>
        <v>70.192150891973455</v>
      </c>
      <c r="U26" s="14">
        <f>'2019'!$E22</f>
        <v>71.685394164439131</v>
      </c>
      <c r="V26" s="14">
        <f>'2020'!$E22</f>
        <v>62.516026297999517</v>
      </c>
      <c r="W26" s="14">
        <f>'2021'!$E22</f>
        <v>69.633054030626994</v>
      </c>
      <c r="X26" s="14">
        <f>'2022'!$E22</f>
        <v>71.056053163825496</v>
      </c>
    </row>
    <row r="27" spans="2:24" ht="20.100000000000001" customHeight="1" thickBot="1" x14ac:dyDescent="0.25">
      <c r="B27" s="9" t="s">
        <v>5</v>
      </c>
      <c r="C27" s="14">
        <f>'2001'!$E23</f>
        <v>97.593776855169025</v>
      </c>
      <c r="D27" s="14">
        <f>'2002'!$E23</f>
        <v>102.98095984509705</v>
      </c>
      <c r="E27" s="14">
        <f>'2003'!$E23</f>
        <v>100.74405574050829</v>
      </c>
      <c r="F27" s="14">
        <f>'2004'!$E23</f>
        <v>103.37536771067658</v>
      </c>
      <c r="G27" s="14">
        <f>'2005'!$E23</f>
        <v>105.59318808697708</v>
      </c>
      <c r="H27" s="14">
        <f>'2006'!$E23</f>
        <v>112.4203692718244</v>
      </c>
      <c r="I27" s="14">
        <f>'2007'!$E23</f>
        <v>115.74410290071644</v>
      </c>
      <c r="J27" s="14">
        <f>'2008'!$E23</f>
        <v>118.36712257231103</v>
      </c>
      <c r="K27" s="14">
        <f>'2009'!$E23</f>
        <v>123.0867141293372</v>
      </c>
      <c r="L27" s="14">
        <f>'2010'!$E23</f>
        <v>126.65597298438158</v>
      </c>
      <c r="M27" s="14">
        <f>'2011'!$E23</f>
        <v>125.83435757627871</v>
      </c>
      <c r="N27" s="14">
        <f>'2012'!$E23</f>
        <v>126.04127901983797</v>
      </c>
      <c r="O27" s="14">
        <f>'2013'!$E23</f>
        <v>123.55378044494904</v>
      </c>
      <c r="P27" s="14">
        <f>'2014'!$E23</f>
        <v>124.73838710554212</v>
      </c>
      <c r="Q27" s="14">
        <f>'2015'!$E23</f>
        <v>112.91245926460108</v>
      </c>
      <c r="R27" s="14">
        <f>'2016'!$E23</f>
        <v>58.297234999295782</v>
      </c>
      <c r="S27" s="14">
        <f>'2017'!$E23</f>
        <v>57.091651659931586</v>
      </c>
      <c r="T27" s="14">
        <f>'2018'!$E23</f>
        <v>55.784871145702816</v>
      </c>
      <c r="U27" s="14">
        <f>'2019'!$E23</f>
        <v>54.942709928787529</v>
      </c>
      <c r="V27" s="14">
        <f>'2020'!$E23</f>
        <v>44.635060601641776</v>
      </c>
      <c r="W27" s="14">
        <f>'2021'!$E23</f>
        <v>51.732485667408604</v>
      </c>
      <c r="X27" s="14">
        <f>'2022'!$E23</f>
        <v>55.270510019554941</v>
      </c>
    </row>
    <row r="28" spans="2:24" ht="20.100000000000001" customHeight="1" thickBot="1" x14ac:dyDescent="0.25">
      <c r="B28" s="9" t="s">
        <v>43</v>
      </c>
      <c r="C28" s="14">
        <f>'2001'!$E24</f>
        <v>136.82335991491695</v>
      </c>
      <c r="D28" s="14">
        <f>'2002'!$E24</f>
        <v>136.36463389574195</v>
      </c>
      <c r="E28" s="14">
        <f>'2003'!$E24</f>
        <v>132.64150324464194</v>
      </c>
      <c r="F28" s="14">
        <f>'2004'!$E24</f>
        <v>129.14505684134676</v>
      </c>
      <c r="G28" s="14">
        <f>'2005'!$E24</f>
        <v>132.32198324721401</v>
      </c>
      <c r="H28" s="14">
        <f>'2006'!$E24</f>
        <v>131.31854487897513</v>
      </c>
      <c r="I28" s="14">
        <f>'2007'!$E24</f>
        <v>129.92733070286525</v>
      </c>
      <c r="J28" s="14">
        <f>'2008'!$E24</f>
        <v>130.30601010228352</v>
      </c>
      <c r="K28" s="14">
        <f>'2009'!$E24</f>
        <v>126.52643777778886</v>
      </c>
      <c r="L28" s="14">
        <f>'2010'!$E24</f>
        <v>125.00124115881206</v>
      </c>
      <c r="M28" s="14">
        <f>'2011'!$E24</f>
        <v>130.45219279086083</v>
      </c>
      <c r="N28" s="14">
        <f>'2012'!$E24</f>
        <v>121.48755135932672</v>
      </c>
      <c r="O28" s="14">
        <f>'2013'!$E24</f>
        <v>122.14246658212826</v>
      </c>
      <c r="P28" s="14">
        <f>'2014'!$E24</f>
        <v>116.19756667143257</v>
      </c>
      <c r="Q28" s="14">
        <f>'2015'!$E24</f>
        <v>106.4298924830894</v>
      </c>
      <c r="R28" s="14">
        <f>'2016'!$E24</f>
        <v>60.561593108270252</v>
      </c>
      <c r="S28" s="14">
        <f>'2017'!$E24</f>
        <v>57.540792743322847</v>
      </c>
      <c r="T28" s="14">
        <f>'2018'!$E24</f>
        <v>56.890472839219413</v>
      </c>
      <c r="U28" s="14">
        <f>'2019'!$E24</f>
        <v>58.583148551111968</v>
      </c>
      <c r="V28" s="14">
        <f>'2020'!$E24</f>
        <v>47.237828514831193</v>
      </c>
      <c r="W28" s="14">
        <f>'2021'!$E24</f>
        <v>52.46446724718259</v>
      </c>
      <c r="X28" s="14">
        <f>'2022'!$E24</f>
        <v>60.9013668015753</v>
      </c>
    </row>
    <row r="29" spans="2:24" ht="20.100000000000001" customHeight="1" thickBot="1" x14ac:dyDescent="0.25">
      <c r="B29" s="9" t="s">
        <v>44</v>
      </c>
      <c r="C29" s="14">
        <f>'2001'!$E25</f>
        <v>89.428957689502937</v>
      </c>
      <c r="D29" s="14">
        <f>'2002'!$E25</f>
        <v>91.706618105537871</v>
      </c>
      <c r="E29" s="14">
        <f>'2003'!$E25</f>
        <v>92.367789693850341</v>
      </c>
      <c r="F29" s="14">
        <f>'2004'!$E25</f>
        <v>98.921921471088268</v>
      </c>
      <c r="G29" s="14">
        <f>'2005'!$E25</f>
        <v>101.30184377874656</v>
      </c>
      <c r="H29" s="14">
        <f>'2006'!$E25</f>
        <v>100.55162726096152</v>
      </c>
      <c r="I29" s="14">
        <f>'2007'!$E25</f>
        <v>96.665111483135405</v>
      </c>
      <c r="J29" s="14">
        <f>'2008'!$E25</f>
        <v>100.34019791592881</v>
      </c>
      <c r="K29" s="14">
        <f>'2009'!$E25</f>
        <v>107.72787531316794</v>
      </c>
      <c r="L29" s="14">
        <f>'2010'!$E25</f>
        <v>104.0356745546819</v>
      </c>
      <c r="M29" s="14">
        <f>'2011'!$E25</f>
        <v>105.18036497382938</v>
      </c>
      <c r="N29" s="14">
        <f>'2012'!$E25</f>
        <v>99.209806694955219</v>
      </c>
      <c r="O29" s="14">
        <f>'2013'!$E25</f>
        <v>100.8453945237941</v>
      </c>
      <c r="P29" s="14">
        <f>'2014'!$E25</f>
        <v>99.541389457153684</v>
      </c>
      <c r="Q29" s="14">
        <f>'2015'!$E25</f>
        <v>97.077551083971002</v>
      </c>
      <c r="R29" s="14">
        <f>'2016'!$E25</f>
        <v>62.431937627247045</v>
      </c>
      <c r="S29" s="14">
        <f>'2017'!$E25</f>
        <v>59.105253313913458</v>
      </c>
      <c r="T29" s="14">
        <f>'2018'!$E25</f>
        <v>54.842716890402727</v>
      </c>
      <c r="U29" s="14">
        <f>'2019'!$E25</f>
        <v>53.152627980014564</v>
      </c>
      <c r="V29" s="14">
        <f>'2020'!$E25</f>
        <v>44.628266117221671</v>
      </c>
      <c r="W29" s="14">
        <f>'2021'!$E25</f>
        <v>49.268054024535566</v>
      </c>
      <c r="X29" s="14">
        <f>'2022'!$E25</f>
        <v>52.674531203371558</v>
      </c>
    </row>
    <row r="30" spans="2:24" ht="20.100000000000001" customHeight="1" thickBot="1" x14ac:dyDescent="0.25">
      <c r="B30" s="9" t="s">
        <v>45</v>
      </c>
      <c r="C30" s="14">
        <f>'2001'!$E26</f>
        <v>108.22933246711061</v>
      </c>
      <c r="D30" s="14">
        <f>'2002'!$E26</f>
        <v>113.29073789018987</v>
      </c>
      <c r="E30" s="14">
        <f>'2003'!$E26</f>
        <v>106.30148567422391</v>
      </c>
      <c r="F30" s="14">
        <f>'2004'!$E26</f>
        <v>115.92444894661931</v>
      </c>
      <c r="G30" s="14">
        <f>'2005'!$E26</f>
        <v>124.92478097239079</v>
      </c>
      <c r="H30" s="14">
        <f>'2006'!$E26</f>
        <v>124.06648847437545</v>
      </c>
      <c r="I30" s="14">
        <f>'2007'!$E26</f>
        <v>130.55080776892177</v>
      </c>
      <c r="J30" s="14">
        <f>'2008'!$E26</f>
        <v>140.99386346395067</v>
      </c>
      <c r="K30" s="14">
        <f>'2009'!$E26</f>
        <v>137.86601459207608</v>
      </c>
      <c r="L30" s="14">
        <f>'2010'!$E26</f>
        <v>130.81226369629914</v>
      </c>
      <c r="M30" s="14">
        <f>'2011'!$E26</f>
        <v>128.88266776859913</v>
      </c>
      <c r="N30" s="14">
        <f>'2012'!$E26</f>
        <v>128.67403026483595</v>
      </c>
      <c r="O30" s="14">
        <f>'2013'!$E26</f>
        <v>127.05907863941916</v>
      </c>
      <c r="P30" s="14">
        <f>'2014'!$E26</f>
        <v>122.39148763700867</v>
      </c>
      <c r="Q30" s="14">
        <f>'2015'!$E26</f>
        <v>117.13261883005639</v>
      </c>
      <c r="R30" s="14">
        <f>'2016'!$E26</f>
        <v>75.935119566453167</v>
      </c>
      <c r="S30" s="14">
        <f>'2017'!$E26</f>
        <v>73.680030549885245</v>
      </c>
      <c r="T30" s="14">
        <f>'2018'!$E26</f>
        <v>70.370842035556009</v>
      </c>
      <c r="U30" s="14">
        <f>'2019'!$E26</f>
        <v>73.171821977345488</v>
      </c>
      <c r="V30" s="14">
        <f>'2020'!$E26</f>
        <v>64.515881354045234</v>
      </c>
      <c r="W30" s="14">
        <f>'2021'!$E26</f>
        <v>71.758225206587625</v>
      </c>
      <c r="X30" s="14">
        <f>'2022'!$E26</f>
        <v>73.267000433837239</v>
      </c>
    </row>
    <row r="31" spans="2:24" ht="20.100000000000001" customHeight="1" thickBot="1" x14ac:dyDescent="0.25">
      <c r="B31" s="9" t="s">
        <v>46</v>
      </c>
      <c r="C31" s="14">
        <f>'2001'!$E27</f>
        <v>82.221873245716154</v>
      </c>
      <c r="D31" s="14">
        <f>'2002'!$E27</f>
        <v>82.208967466089149</v>
      </c>
      <c r="E31" s="14">
        <f>'2003'!$E27</f>
        <v>81.499695756833873</v>
      </c>
      <c r="F31" s="14">
        <f>'2004'!$E27</f>
        <v>84.602048969807669</v>
      </c>
      <c r="G31" s="14">
        <f>'2005'!$E27</f>
        <v>87.848038576133817</v>
      </c>
      <c r="H31" s="14">
        <f>'2006'!$E27</f>
        <v>107.37188712481435</v>
      </c>
      <c r="I31" s="14">
        <f>'2007'!$E27</f>
        <v>110.99389826199338</v>
      </c>
      <c r="J31" s="14">
        <f>'2008'!$E27</f>
        <v>116.39413196666553</v>
      </c>
      <c r="K31" s="14">
        <f>'2009'!$E27</f>
        <v>112.46298520805107</v>
      </c>
      <c r="L31" s="14">
        <f>'2010'!$E27</f>
        <v>112.43237868286496</v>
      </c>
      <c r="M31" s="14">
        <f>'2011'!$E27</f>
        <v>114.42442142261865</v>
      </c>
      <c r="N31" s="14">
        <f>'2012'!$E27</f>
        <v>97.888734350836742</v>
      </c>
      <c r="O31" s="14">
        <f>'2013'!$E27</f>
        <v>96.244731632870923</v>
      </c>
      <c r="P31" s="14">
        <f>'2014'!$E27</f>
        <v>93.418142813632485</v>
      </c>
      <c r="Q31" s="14">
        <f>'2015'!$E27</f>
        <v>84.194762933864212</v>
      </c>
      <c r="R31" s="14">
        <f>'2016'!$E27</f>
        <v>51.403679554399318</v>
      </c>
      <c r="S31" s="14">
        <f>'2017'!$E27</f>
        <v>47.84904676808052</v>
      </c>
      <c r="T31" s="14">
        <f>'2018'!$E27</f>
        <v>43.687815528819826</v>
      </c>
      <c r="U31" s="14">
        <f>'2019'!$E27</f>
        <v>46.805276188910995</v>
      </c>
      <c r="V31" s="14">
        <f>'2020'!$E27</f>
        <v>38.010723693300584</v>
      </c>
      <c r="W31" s="14">
        <f>'2021'!$E27</f>
        <v>41.751254760591138</v>
      </c>
      <c r="X31" s="14">
        <f>'2022'!$E27</f>
        <v>43.843861537994563</v>
      </c>
    </row>
    <row r="32" spans="2:24" ht="20.100000000000001" customHeight="1" thickBot="1" x14ac:dyDescent="0.25">
      <c r="B32" s="9" t="s">
        <v>47</v>
      </c>
      <c r="C32" s="14">
        <f>'2001'!$E28</f>
        <v>77.275388783581263</v>
      </c>
      <c r="D32" s="14">
        <f>'2002'!$E28</f>
        <v>81.333637545011754</v>
      </c>
      <c r="E32" s="14">
        <f>'2003'!$E28</f>
        <v>82.756106452788913</v>
      </c>
      <c r="F32" s="14">
        <f>'2004'!$E28</f>
        <v>85.291328112013929</v>
      </c>
      <c r="G32" s="14">
        <f>'2005'!$E28</f>
        <v>86.376181638089378</v>
      </c>
      <c r="H32" s="14">
        <f>'2006'!$E28</f>
        <v>91.191471411588765</v>
      </c>
      <c r="I32" s="14">
        <f>'2007'!$E28</f>
        <v>102.65168539325843</v>
      </c>
      <c r="J32" s="14">
        <f>'2008'!$E28</f>
        <v>110.21303083512176</v>
      </c>
      <c r="K32" s="14">
        <f>'2009'!$E28</f>
        <v>109.5908687311088</v>
      </c>
      <c r="L32" s="14">
        <f>'2010'!$E28</f>
        <v>110.11593084568888</v>
      </c>
      <c r="M32" s="14">
        <f>'2011'!$E28</f>
        <v>104.9749472934863</v>
      </c>
      <c r="N32" s="14">
        <f>'2012'!$E28</f>
        <v>100.47882001137427</v>
      </c>
      <c r="O32" s="14">
        <f>'2013'!$E28</f>
        <v>97.513438005842403</v>
      </c>
      <c r="P32" s="14">
        <f>'2014'!$E28</f>
        <v>97.045538903537732</v>
      </c>
      <c r="Q32" s="14">
        <f>'2015'!$E28</f>
        <v>94.573711863658446</v>
      </c>
      <c r="R32" s="14">
        <f>'2016'!$E28</f>
        <v>51.842384033500601</v>
      </c>
      <c r="S32" s="14">
        <f>'2017'!$E28</f>
        <v>52.848760555158563</v>
      </c>
      <c r="T32" s="14">
        <f>'2018'!$E28</f>
        <v>52.022593828274736</v>
      </c>
      <c r="U32" s="14">
        <f>'2019'!$E28</f>
        <v>54.26605341034692</v>
      </c>
      <c r="V32" s="14">
        <f>'2020'!$E28</f>
        <v>45.426967609705365</v>
      </c>
      <c r="W32" s="14">
        <f>'2021'!$E28</f>
        <v>52.36911557110416</v>
      </c>
      <c r="X32" s="14">
        <f>'2022'!$E28</f>
        <v>54.046727633544059</v>
      </c>
    </row>
    <row r="33" spans="2:24" ht="20.100000000000001" customHeight="1" thickBot="1" x14ac:dyDescent="0.25">
      <c r="B33" s="9" t="s">
        <v>48</v>
      </c>
      <c r="C33" s="14">
        <f>'2001'!$E29</f>
        <v>73.308737789841913</v>
      </c>
      <c r="D33" s="14">
        <f>'2002'!$E29</f>
        <v>132.10790049141042</v>
      </c>
      <c r="E33" s="14">
        <f>'2003'!$E29</f>
        <v>133.20462295116795</v>
      </c>
      <c r="F33" s="14">
        <f>'2004'!$E29</f>
        <v>134.8353397566992</v>
      </c>
      <c r="G33" s="14">
        <f>'2005'!$E29</f>
        <v>132.24833610648918</v>
      </c>
      <c r="H33" s="14">
        <f>'2006'!$E29</f>
        <v>135.49056126792172</v>
      </c>
      <c r="I33" s="14">
        <f>'2007'!$E29</f>
        <v>142.87317334421462</v>
      </c>
      <c r="J33" s="14">
        <f>'2008'!$E29</f>
        <v>141.74840814806802</v>
      </c>
      <c r="K33" s="14">
        <f>'2009'!$E29</f>
        <v>151.83927800823665</v>
      </c>
      <c r="L33" s="14">
        <f>'2010'!$E29</f>
        <v>151.99585741955079</v>
      </c>
      <c r="M33" s="14">
        <f>'2011'!$E29</f>
        <v>145.77026133556043</v>
      </c>
      <c r="N33" s="14">
        <f>'2012'!$E29</f>
        <v>142.71280939933521</v>
      </c>
      <c r="O33" s="14">
        <f>'2013'!$E29</f>
        <v>137.58509226088543</v>
      </c>
      <c r="P33" s="14">
        <f>'2014'!$E29</f>
        <v>130.00173809217935</v>
      </c>
      <c r="Q33" s="14">
        <f>'2015'!$E29</f>
        <v>124.6261848040955</v>
      </c>
      <c r="R33" s="14">
        <f>'2016'!$E29</f>
        <v>76.084239948178862</v>
      </c>
      <c r="S33" s="14">
        <f>'2017'!$E29</f>
        <v>75.457911145752149</v>
      </c>
      <c r="T33" s="14">
        <f>'2018'!$E29</f>
        <v>78.541922805862356</v>
      </c>
      <c r="U33" s="14">
        <f>'2019'!$E29</f>
        <v>82.459353834818515</v>
      </c>
      <c r="V33" s="14">
        <f>'2020'!$E29</f>
        <v>68.23087027068793</v>
      </c>
      <c r="W33" s="14">
        <f>'2021'!$E29</f>
        <v>74.493355137865365</v>
      </c>
      <c r="X33" s="14">
        <f>'2022'!$E29</f>
        <v>85.397346195247167</v>
      </c>
    </row>
    <row r="34" spans="2:24" ht="20.100000000000001" customHeight="1" thickBot="1" x14ac:dyDescent="0.25">
      <c r="B34" s="9" t="s">
        <v>49</v>
      </c>
      <c r="C34" s="14">
        <f>'2001'!$E30</f>
        <v>165.95186750625376</v>
      </c>
      <c r="D34" s="14">
        <f>'2002'!$E30</f>
        <v>159.19426461933551</v>
      </c>
      <c r="E34" s="14">
        <f>'2003'!$E30</f>
        <v>121.2989678743634</v>
      </c>
      <c r="F34" s="14">
        <f>'2004'!$E30</f>
        <v>133.52289695975153</v>
      </c>
      <c r="G34" s="14">
        <f>'2005'!$E30</f>
        <v>129.66173367885318</v>
      </c>
      <c r="H34" s="14">
        <f>'2006'!$E30</f>
        <v>127.3956798107462</v>
      </c>
      <c r="I34" s="14">
        <f>'2007'!$E30</f>
        <v>123.51296048485878</v>
      </c>
      <c r="J34" s="14">
        <f>'2008'!$E30</f>
        <v>122.27545008362209</v>
      </c>
      <c r="K34" s="14">
        <f>'2009'!$E30</f>
        <v>128.86509704700032</v>
      </c>
      <c r="L34" s="14">
        <f>'2010'!$E30</f>
        <v>126.95240397000981</v>
      </c>
      <c r="M34" s="14">
        <f>'2011'!$E30</f>
        <v>128.84739895085954</v>
      </c>
      <c r="N34" s="14">
        <f>'2012'!$E30</f>
        <v>122.49040540842171</v>
      </c>
      <c r="O34" s="14">
        <f>'2013'!$E30</f>
        <v>123.95618881559599</v>
      </c>
      <c r="P34" s="14">
        <f>'2014'!$E30</f>
        <v>120.54258645041499</v>
      </c>
      <c r="Q34" s="14">
        <f>'2015'!$E30</f>
        <v>117.86538548364393</v>
      </c>
      <c r="R34" s="14">
        <f>'2016'!$E30</f>
        <v>62.955826618682124</v>
      </c>
      <c r="S34" s="14">
        <f>'2017'!$E30</f>
        <v>64.046546586283739</v>
      </c>
      <c r="T34" s="14">
        <f>'2018'!$E30</f>
        <v>66.50725050430016</v>
      </c>
      <c r="U34" s="14">
        <f>'2019'!$E30</f>
        <v>69.905219416790743</v>
      </c>
      <c r="V34" s="14">
        <f>'2020'!$E30</f>
        <v>55.871924358010098</v>
      </c>
      <c r="W34" s="14">
        <f>'2021'!$E30</f>
        <v>65.177041327441273</v>
      </c>
      <c r="X34" s="14">
        <f>'2022'!$E30</f>
        <v>71.937818142985719</v>
      </c>
    </row>
    <row r="35" spans="2:24" ht="20.100000000000001" customHeight="1" thickBot="1" x14ac:dyDescent="0.25">
      <c r="B35" s="9" t="s">
        <v>50</v>
      </c>
      <c r="C35" s="14">
        <f>'2001'!$E31</f>
        <v>130.20573761716486</v>
      </c>
      <c r="D35" s="14">
        <f>'2002'!$E31</f>
        <v>123.29310746936049</v>
      </c>
      <c r="E35" s="14">
        <f>'2003'!$E31</f>
        <v>138.53765274294264</v>
      </c>
      <c r="F35" s="14">
        <f>'2004'!$E31</f>
        <v>165.54134731794599</v>
      </c>
      <c r="G35" s="14">
        <f>'2005'!$E31</f>
        <v>188.56589282354008</v>
      </c>
      <c r="H35" s="14">
        <f>'2006'!$E31</f>
        <v>201.85372022314948</v>
      </c>
      <c r="I35" s="14">
        <f>'2007'!$E31</f>
        <v>200.16762828597251</v>
      </c>
      <c r="J35" s="14">
        <f>'2008'!$E31</f>
        <v>202.53545194292184</v>
      </c>
      <c r="K35" s="14">
        <f>'2009'!$E31</f>
        <v>194.30852916154228</v>
      </c>
      <c r="L35" s="14">
        <f>'2010'!$E31</f>
        <v>194.16450997307399</v>
      </c>
      <c r="M35" s="14">
        <f>'2011'!$E31</f>
        <v>189.04980801470987</v>
      </c>
      <c r="N35" s="14">
        <f>'2012'!$E31</f>
        <v>186.94416032453236</v>
      </c>
      <c r="O35" s="14">
        <f>'2013'!$E31</f>
        <v>188.93441775923264</v>
      </c>
      <c r="P35" s="14">
        <f>'2014'!$E31</f>
        <v>188.83904051856805</v>
      </c>
      <c r="Q35" s="14">
        <f>'2015'!$E31</f>
        <v>172.40326742592637</v>
      </c>
      <c r="R35" s="14">
        <f>'2016'!$E31</f>
        <v>105.21175627490736</v>
      </c>
      <c r="S35" s="14">
        <f>'2017'!$E31</f>
        <v>102.4319285646999</v>
      </c>
      <c r="T35" s="14">
        <f>'2018'!$E31</f>
        <v>74.458789025025354</v>
      </c>
      <c r="U35" s="14">
        <f>'2019'!$E31</f>
        <v>75.299722962616343</v>
      </c>
      <c r="V35" s="14">
        <f>'2020'!$E31</f>
        <v>66.008607784431149</v>
      </c>
      <c r="W35" s="14">
        <f>'2021'!$E31</f>
        <v>76.832823567463834</v>
      </c>
      <c r="X35" s="14">
        <f>'2022'!$E31</f>
        <v>80.723903713946456</v>
      </c>
    </row>
    <row r="36" spans="2:24" ht="20.100000000000001" customHeight="1" thickBot="1" x14ac:dyDescent="0.25">
      <c r="B36" s="9" t="s">
        <v>51</v>
      </c>
      <c r="C36" s="14">
        <f>'2001'!$E32</f>
        <v>99.031084578970678</v>
      </c>
      <c r="D36" s="14">
        <f>'2002'!$E32</f>
        <v>96.5678635921265</v>
      </c>
      <c r="E36" s="14">
        <f>'2003'!$E32</f>
        <v>97.037859753927776</v>
      </c>
      <c r="F36" s="14">
        <f>'2004'!$E32</f>
        <v>93.531635320994468</v>
      </c>
      <c r="G36" s="14">
        <f>'2005'!$E32</f>
        <v>98.077423344802369</v>
      </c>
      <c r="H36" s="14">
        <f>'2006'!$E32</f>
        <v>108.24102480035597</v>
      </c>
      <c r="I36" s="14">
        <f>'2007'!$E32</f>
        <v>111.02036808939823</v>
      </c>
      <c r="J36" s="14">
        <f>'2008'!$E32</f>
        <v>118.4337242994781</v>
      </c>
      <c r="K36" s="14">
        <f>'2009'!$E32</f>
        <v>118.35824351719067</v>
      </c>
      <c r="L36" s="14">
        <f>'2010'!$E32</f>
        <v>105.81842321804081</v>
      </c>
      <c r="M36" s="14">
        <f>'2011'!$E32</f>
        <v>117.03143947812727</v>
      </c>
      <c r="N36" s="14">
        <f>'2012'!$E32</f>
        <v>115.05873921637377</v>
      </c>
      <c r="O36" s="14">
        <f>'2013'!$E32</f>
        <v>106.14108946426978</v>
      </c>
      <c r="P36" s="14">
        <f>'2014'!$E32</f>
        <v>96.125688066210955</v>
      </c>
      <c r="Q36" s="14">
        <f>'2015'!$E32</f>
        <v>95.637914587324488</v>
      </c>
      <c r="R36" s="14">
        <f>'2016'!$E32</f>
        <v>52.071717243615595</v>
      </c>
      <c r="S36" s="14">
        <f>'2017'!$E32</f>
        <v>46.689826694563969</v>
      </c>
      <c r="T36" s="14">
        <f>'2018'!$E32</f>
        <v>46.876228824889502</v>
      </c>
      <c r="U36" s="14">
        <f>'2019'!$E32</f>
        <v>49.103436503441159</v>
      </c>
      <c r="V36" s="14">
        <f>'2020'!$E32</f>
        <v>41.771789537968282</v>
      </c>
      <c r="W36" s="14">
        <f>'2021'!$E32</f>
        <v>50.194285886410533</v>
      </c>
      <c r="X36" s="14">
        <f>'2022'!$E32</f>
        <v>54.140247300329833</v>
      </c>
    </row>
    <row r="37" spans="2:24" ht="20.100000000000001" customHeight="1" thickBot="1" x14ac:dyDescent="0.25">
      <c r="B37" s="9" t="s">
        <v>52</v>
      </c>
      <c r="C37" s="14">
        <f>'2001'!$E33</f>
        <v>126.14081822710241</v>
      </c>
      <c r="D37" s="14">
        <f>'2002'!$E33</f>
        <v>129.08929009278737</v>
      </c>
      <c r="E37" s="14">
        <f>'2003'!$E33</f>
        <v>129.7439284066327</v>
      </c>
      <c r="F37" s="14">
        <f>'2004'!$E33</f>
        <v>130.43022233783017</v>
      </c>
      <c r="G37" s="14">
        <f>'2005'!$E33</f>
        <v>131.07492476105435</v>
      </c>
      <c r="H37" s="14">
        <f>'2006'!$E33</f>
        <v>135.72842124939555</v>
      </c>
      <c r="I37" s="14">
        <f>'2007'!$E33</f>
        <v>122.434298964577</v>
      </c>
      <c r="J37" s="14">
        <f>'2008'!$E33</f>
        <v>130.4726184499375</v>
      </c>
      <c r="K37" s="14">
        <f>'2009'!$E33</f>
        <v>137.35213857340139</v>
      </c>
      <c r="L37" s="14">
        <f>'2010'!$E33</f>
        <v>140.0726913359108</v>
      </c>
      <c r="M37" s="14">
        <f>'2011'!$E33</f>
        <v>135.47382215001684</v>
      </c>
      <c r="N37" s="14">
        <f>'2012'!$E33</f>
        <v>136.0626704560668</v>
      </c>
      <c r="O37" s="14">
        <f>'2013'!$E33</f>
        <v>134.53294613842218</v>
      </c>
      <c r="P37" s="14">
        <f>'2014'!$E33</f>
        <v>129.09718062743028</v>
      </c>
      <c r="Q37" s="14">
        <f>'2015'!$E33</f>
        <v>126.90546655205503</v>
      </c>
      <c r="R37" s="14">
        <f>'2016'!$E33</f>
        <v>82.623807727542172</v>
      </c>
      <c r="S37" s="14">
        <f>'2017'!$E33</f>
        <v>76.497793536700513</v>
      </c>
      <c r="T37" s="14">
        <f>'2018'!$E33</f>
        <v>69.076340752252221</v>
      </c>
      <c r="U37" s="14">
        <f>'2019'!$E33</f>
        <v>66.95920439956312</v>
      </c>
      <c r="V37" s="14">
        <f>'2020'!$E33</f>
        <v>56.447152083436649</v>
      </c>
      <c r="W37" s="14">
        <f>'2021'!$E33</f>
        <v>64.778875502771783</v>
      </c>
      <c r="X37" s="14">
        <f>'2022'!$E33</f>
        <v>70.38900035182138</v>
      </c>
    </row>
    <row r="38" spans="2:24" ht="20.100000000000001" customHeight="1" thickBot="1" x14ac:dyDescent="0.25">
      <c r="B38" s="9" t="s">
        <v>53</v>
      </c>
      <c r="C38" s="14">
        <f>'2001'!$E34</f>
        <v>74.292928066810717</v>
      </c>
      <c r="D38" s="14">
        <f>'2002'!$E34</f>
        <v>74.582581605355969</v>
      </c>
      <c r="E38" s="14">
        <f>'2003'!$E34</f>
        <v>75.6084170271575</v>
      </c>
      <c r="F38" s="14">
        <f>'2004'!$E34</f>
        <v>76.171553914730325</v>
      </c>
      <c r="G38" s="14">
        <f>'2005'!$E34</f>
        <v>76.710336137568106</v>
      </c>
      <c r="H38" s="14">
        <f>'2006'!$E34</f>
        <v>79.592520055223531</v>
      </c>
      <c r="I38" s="14">
        <f>'2007'!$E34</f>
        <v>78.775322911129578</v>
      </c>
      <c r="J38" s="14">
        <f>'2008'!$E34</f>
        <v>91.898202609301691</v>
      </c>
      <c r="K38" s="14">
        <f>'2009'!$E34</f>
        <v>94.212574810975042</v>
      </c>
      <c r="L38" s="14">
        <f>'2010'!$E34</f>
        <v>93.154712424420083</v>
      </c>
      <c r="M38" s="14">
        <f>'2011'!$E34</f>
        <v>94.565184072586817</v>
      </c>
      <c r="N38" s="14">
        <f>'2012'!$E34</f>
        <v>97.746574168859752</v>
      </c>
      <c r="O38" s="14">
        <f>'2013'!$E34</f>
        <v>96.585059802323173</v>
      </c>
      <c r="P38" s="14">
        <f>'2014'!$E34</f>
        <v>97.781769515670788</v>
      </c>
      <c r="Q38" s="14">
        <f>'2015'!$E34</f>
        <v>96.89604277978907</v>
      </c>
      <c r="R38" s="14">
        <f>'2016'!$E34</f>
        <v>54.71799673419909</v>
      </c>
      <c r="S38" s="14">
        <f>'2017'!$E34</f>
        <v>53.090094764726764</v>
      </c>
      <c r="T38" s="14">
        <f>'2018'!$E34</f>
        <v>50.919783902072083</v>
      </c>
      <c r="U38" s="14">
        <f>'2019'!$E34</f>
        <v>53.841722572246333</v>
      </c>
      <c r="V38" s="14">
        <f>'2020'!$E34</f>
        <v>43.796898786188684</v>
      </c>
      <c r="W38" s="14">
        <f>'2021'!$E34</f>
        <v>49.32133556879392</v>
      </c>
      <c r="X38" s="14">
        <f>'2022'!$E34</f>
        <v>53.931973031783969</v>
      </c>
    </row>
    <row r="39" spans="2:24" ht="20.100000000000001" customHeight="1" thickBot="1" x14ac:dyDescent="0.25">
      <c r="B39" s="9" t="s">
        <v>54</v>
      </c>
      <c r="C39" s="14">
        <f>'2001'!$E35</f>
        <v>81.442470435023637</v>
      </c>
      <c r="D39" s="14">
        <f>'2002'!$E35</f>
        <v>84.014662018236393</v>
      </c>
      <c r="E39" s="14">
        <f>'2003'!$E35</f>
        <v>82.832871624473384</v>
      </c>
      <c r="F39" s="14">
        <f>'2004'!$E35</f>
        <v>81.233631493541225</v>
      </c>
      <c r="G39" s="14">
        <f>'2005'!$E35</f>
        <v>83.079402196630539</v>
      </c>
      <c r="H39" s="14">
        <f>'2006'!$E35</f>
        <v>89.424233233899315</v>
      </c>
      <c r="I39" s="14">
        <f>'2007'!$E35</f>
        <v>89.529471584464346</v>
      </c>
      <c r="J39" s="14">
        <f>'2008'!$E35</f>
        <v>98.245829575181517</v>
      </c>
      <c r="K39" s="14">
        <f>'2009'!$E35</f>
        <v>100.91791060374868</v>
      </c>
      <c r="L39" s="14">
        <f>'2010'!$E35</f>
        <v>108.85844585478286</v>
      </c>
      <c r="M39" s="14">
        <f>'2011'!$E35</f>
        <v>119.19773337309871</v>
      </c>
      <c r="N39" s="14">
        <f>'2012'!$E35</f>
        <v>111.22251365924548</v>
      </c>
      <c r="O39" s="14">
        <f>'2013'!$E35</f>
        <v>106.05249384884708</v>
      </c>
      <c r="P39" s="14">
        <f>'2014'!$E35</f>
        <v>104.77320559061535</v>
      </c>
      <c r="Q39" s="14">
        <f>'2015'!$E35</f>
        <v>101.84814344895058</v>
      </c>
      <c r="R39" s="14">
        <f>'2016'!$E35</f>
        <v>72.25453143077516</v>
      </c>
      <c r="S39" s="14">
        <f>'2017'!$E35</f>
        <v>65.585158294534125</v>
      </c>
      <c r="T39" s="14">
        <f>'2018'!$E35</f>
        <v>61.528070095706155</v>
      </c>
      <c r="U39" s="14">
        <f>'2019'!$E35</f>
        <v>59.8518855237987</v>
      </c>
      <c r="V39" s="14">
        <f>'2020'!$E35</f>
        <v>51.495056075491661</v>
      </c>
      <c r="W39" s="14">
        <f>'2021'!$E35</f>
        <v>57.456273218641876</v>
      </c>
      <c r="X39" s="14">
        <f>'2022'!$E35</f>
        <v>60.319839283151836</v>
      </c>
    </row>
    <row r="40" spans="2:24" ht="20.100000000000001" customHeight="1" thickBot="1" x14ac:dyDescent="0.25">
      <c r="B40" s="9" t="s">
        <v>55</v>
      </c>
      <c r="C40" s="14">
        <f>'2001'!$E36</f>
        <v>65.269049902205523</v>
      </c>
      <c r="D40" s="14">
        <f>'2002'!$E36</f>
        <v>79.165617984315062</v>
      </c>
      <c r="E40" s="14">
        <f>'2003'!$E36</f>
        <v>90.087056802648391</v>
      </c>
      <c r="F40" s="14">
        <f>'2004'!$E36</f>
        <v>90.298749797044962</v>
      </c>
      <c r="G40" s="14">
        <f>'2005'!$E36</f>
        <v>96.547301684607035</v>
      </c>
      <c r="H40" s="14">
        <f>'2006'!$E36</f>
        <v>100.76210853372886</v>
      </c>
      <c r="I40" s="14">
        <f>'2007'!$E36</f>
        <v>109.83600295142413</v>
      </c>
      <c r="J40" s="14">
        <f>'2008'!$E36</f>
        <v>110.10195921631347</v>
      </c>
      <c r="K40" s="14">
        <f>'2009'!$E36</f>
        <v>116.27469915168673</v>
      </c>
      <c r="L40" s="14">
        <f>'2010'!$E36</f>
        <v>115.05275554594178</v>
      </c>
      <c r="M40" s="14">
        <f>'2011'!$E36</f>
        <v>104.75914977731976</v>
      </c>
      <c r="N40" s="14">
        <f>'2012'!$E36</f>
        <v>100.70563109387987</v>
      </c>
      <c r="O40" s="14">
        <f>'2013'!$E36</f>
        <v>95.895473627468604</v>
      </c>
      <c r="P40" s="14">
        <f>'2014'!$E36</f>
        <v>95.010460207883739</v>
      </c>
      <c r="Q40" s="14">
        <f>'2015'!$E36</f>
        <v>85.954171403539874</v>
      </c>
      <c r="R40" s="14">
        <f>'2016'!$E36</f>
        <v>53.145665999442571</v>
      </c>
      <c r="S40" s="14">
        <f>'2017'!$E36</f>
        <v>48.253743199036549</v>
      </c>
      <c r="T40" s="14">
        <f>'2018'!$E36</f>
        <v>48.388557529337177</v>
      </c>
      <c r="U40" s="14">
        <f>'2019'!$E36</f>
        <v>52.289016763007041</v>
      </c>
      <c r="V40" s="14">
        <f>'2020'!$E36</f>
        <v>42.380252344782107</v>
      </c>
      <c r="W40" s="14">
        <f>'2021'!$E36</f>
        <v>47.831996918349546</v>
      </c>
      <c r="X40" s="14">
        <f>'2022'!$E36</f>
        <v>49.926279482672356</v>
      </c>
    </row>
    <row r="41" spans="2:24" ht="20.100000000000001" customHeight="1" thickBot="1" x14ac:dyDescent="0.25">
      <c r="B41" s="9" t="s">
        <v>56</v>
      </c>
      <c r="C41" s="14">
        <f>'2001'!$E37</f>
        <v>93.670809784588911</v>
      </c>
      <c r="D41" s="14">
        <f>'2002'!$E37</f>
        <v>98.696958671895004</v>
      </c>
      <c r="E41" s="14">
        <f>'2003'!$E37</f>
        <v>96.639912720878939</v>
      </c>
      <c r="F41" s="14">
        <f>'2004'!$E37</f>
        <v>95.494063756193327</v>
      </c>
      <c r="G41" s="14">
        <f>'2005'!$E37</f>
        <v>93.100573554410062</v>
      </c>
      <c r="H41" s="14">
        <f>'2006'!$E37</f>
        <v>91.964092899071403</v>
      </c>
      <c r="I41" s="14">
        <f>'2007'!$E37</f>
        <v>91.211671074719519</v>
      </c>
      <c r="J41" s="14">
        <f>'2008'!$E37</f>
        <v>104.3849210067655</v>
      </c>
      <c r="K41" s="14">
        <f>'2009'!$E37</f>
        <v>101.66314544846266</v>
      </c>
      <c r="L41" s="14">
        <f>'2010'!$E37</f>
        <v>96.17343690309437</v>
      </c>
      <c r="M41" s="14">
        <f>'2011'!$E37</f>
        <v>91.219240890962851</v>
      </c>
      <c r="N41" s="14">
        <f>'2012'!$E37</f>
        <v>94.108326260857012</v>
      </c>
      <c r="O41" s="14">
        <f>'2013'!$E37</f>
        <v>97.968996291802284</v>
      </c>
      <c r="P41" s="14">
        <f>'2014'!$E37</f>
        <v>96.787450256962885</v>
      </c>
      <c r="Q41" s="14">
        <f>'2015'!$E37</f>
        <v>87.409323691772784</v>
      </c>
      <c r="R41" s="14">
        <f>'2016'!$E37</f>
        <v>53.930389064627533</v>
      </c>
      <c r="S41" s="14">
        <f>'2017'!$E37</f>
        <v>52.226724393132031</v>
      </c>
      <c r="T41" s="14">
        <f>'2018'!$E37</f>
        <v>57.863172436735617</v>
      </c>
      <c r="U41" s="14">
        <f>'2019'!$E37</f>
        <v>62.619272066769369</v>
      </c>
      <c r="V41" s="14">
        <f>'2020'!$E37</f>
        <v>51.870280969722955</v>
      </c>
      <c r="W41" s="14">
        <f>'2021'!$E37</f>
        <v>60.339710775094552</v>
      </c>
      <c r="X41" s="14">
        <f>'2022'!$E37</f>
        <v>66.548108258078301</v>
      </c>
    </row>
    <row r="42" spans="2:24" ht="20.100000000000001" customHeight="1" thickBot="1" x14ac:dyDescent="0.25">
      <c r="B42" s="9" t="s">
        <v>57</v>
      </c>
      <c r="C42" s="14">
        <f>'2001'!$E38</f>
        <v>58.658427737727429</v>
      </c>
      <c r="D42" s="14">
        <f>'2002'!$E38</f>
        <v>63.400058598824707</v>
      </c>
      <c r="E42" s="14">
        <f>'2003'!$E38</f>
        <v>65.756479673353454</v>
      </c>
      <c r="F42" s="14">
        <f>'2004'!$E38</f>
        <v>65.342082063986254</v>
      </c>
      <c r="G42" s="14">
        <f>'2005'!$E38</f>
        <v>67.937084935337282</v>
      </c>
      <c r="H42" s="14">
        <f>'2006'!$E38</f>
        <v>70.620732203199708</v>
      </c>
      <c r="I42" s="14">
        <f>'2007'!$E38</f>
        <v>75.452733292790043</v>
      </c>
      <c r="J42" s="14">
        <f>'2008'!$E38</f>
        <v>96.178023282304267</v>
      </c>
      <c r="K42" s="14">
        <f>'2009'!$E38</f>
        <v>88.7991103478371</v>
      </c>
      <c r="L42" s="14">
        <f>'2010'!$E38</f>
        <v>86.352629673214437</v>
      </c>
      <c r="M42" s="14">
        <f>'2011'!$E38</f>
        <v>82.303075128723009</v>
      </c>
      <c r="N42" s="14">
        <f>'2012'!$E38</f>
        <v>78.913276507443356</v>
      </c>
      <c r="O42" s="14">
        <f>'2013'!$E38</f>
        <v>85.926503952255032</v>
      </c>
      <c r="P42" s="14">
        <f>'2014'!$E38</f>
        <v>84.128864355153055</v>
      </c>
      <c r="Q42" s="14">
        <f>'2015'!$E38</f>
        <v>79.340338140052921</v>
      </c>
      <c r="R42" s="14">
        <f>'2016'!$E38</f>
        <v>56.257001667028206</v>
      </c>
      <c r="S42" s="14">
        <f>'2017'!$E38</f>
        <v>50.081826192774116</v>
      </c>
      <c r="T42" s="14">
        <f>'2018'!$E38</f>
        <v>43.473668007738581</v>
      </c>
      <c r="U42" s="14">
        <f>'2019'!$E38</f>
        <v>46.124392042161858</v>
      </c>
      <c r="V42" s="14">
        <f>'2020'!$E38</f>
        <v>38.826514121227277</v>
      </c>
      <c r="W42" s="14">
        <f>'2021'!$E38</f>
        <v>44.268173355050259</v>
      </c>
      <c r="X42" s="14">
        <f>'2022'!$E38</f>
        <v>43.528939030038686</v>
      </c>
    </row>
    <row r="43" spans="2:24" ht="20.100000000000001" customHeight="1" thickBot="1" x14ac:dyDescent="0.25">
      <c r="B43" s="9" t="s">
        <v>58</v>
      </c>
      <c r="C43" s="14">
        <f>'2001'!$E39</f>
        <v>141.52600879340886</v>
      </c>
      <c r="D43" s="14">
        <f>'2002'!$E39</f>
        <v>145.26251494440538</v>
      </c>
      <c r="E43" s="14">
        <f>'2003'!$E39</f>
        <v>149.39266738498137</v>
      </c>
      <c r="F43" s="14">
        <f>'2004'!$E39</f>
        <v>146.50509084763738</v>
      </c>
      <c r="G43" s="14">
        <f>'2005'!$E39</f>
        <v>150.54954249084906</v>
      </c>
      <c r="H43" s="14">
        <f>'2006'!$E39</f>
        <v>154.01128760558726</v>
      </c>
      <c r="I43" s="14">
        <f>'2007'!$E39</f>
        <v>161.73549814862287</v>
      </c>
      <c r="J43" s="14">
        <f>'2008'!$E39</f>
        <v>165.15956437536732</v>
      </c>
      <c r="K43" s="14">
        <f>'2009'!$E39</f>
        <v>157.9772573122745</v>
      </c>
      <c r="L43" s="14">
        <f>'2010'!$E39</f>
        <v>154.8470245641372</v>
      </c>
      <c r="M43" s="14">
        <f>'2011'!$E39</f>
        <v>155.56360251969281</v>
      </c>
      <c r="N43" s="14">
        <f>'2012'!$E39</f>
        <v>151.79285872562536</v>
      </c>
      <c r="O43" s="14">
        <f>'2013'!$E39</f>
        <v>146.01486463580994</v>
      </c>
      <c r="P43" s="14">
        <f>'2014'!$E39</f>
        <v>144.27030075420953</v>
      </c>
      <c r="Q43" s="14">
        <f>'2015'!$E39</f>
        <v>135.02929006014608</v>
      </c>
      <c r="R43" s="14">
        <f>'2016'!$E39</f>
        <v>65.121425774811058</v>
      </c>
      <c r="S43" s="14">
        <f>'2017'!$E39</f>
        <v>60.058237172946086</v>
      </c>
      <c r="T43" s="14">
        <f>'2018'!$E39</f>
        <v>58.276436023343592</v>
      </c>
      <c r="U43" s="14">
        <f>'2019'!$E39</f>
        <v>58.720075685153837</v>
      </c>
      <c r="V43" s="14">
        <f>'2020'!$E39</f>
        <v>48.832222597187446</v>
      </c>
      <c r="W43" s="14">
        <f>'2021'!$E39</f>
        <v>53.964665215380087</v>
      </c>
      <c r="X43" s="14">
        <f>'2022'!$E39</f>
        <v>56.506860728478323</v>
      </c>
    </row>
    <row r="44" spans="2:24" ht="20.100000000000001" customHeight="1" thickBot="1" x14ac:dyDescent="0.25">
      <c r="B44" s="9" t="s">
        <v>59</v>
      </c>
      <c r="C44" s="14">
        <f>'2001'!$E40</f>
        <v>235.53031699225949</v>
      </c>
      <c r="D44" s="14">
        <f>'2002'!$E40</f>
        <v>230.69225043420727</v>
      </c>
      <c r="E44" s="14">
        <f>'2003'!$E40</f>
        <v>227.79640553062427</v>
      </c>
      <c r="F44" s="14">
        <f>'2004'!$E40</f>
        <v>241.45501368099147</v>
      </c>
      <c r="G44" s="14">
        <f>'2005'!$E40</f>
        <v>235.18431494507053</v>
      </c>
      <c r="H44" s="14">
        <f>'2006'!$E40</f>
        <v>233.11743480631159</v>
      </c>
      <c r="I44" s="14">
        <f>'2007'!$E40</f>
        <v>231.502257296924</v>
      </c>
      <c r="J44" s="14">
        <f>'2008'!$E40</f>
        <v>235.09637865973755</v>
      </c>
      <c r="K44" s="14">
        <f>'2009'!$E40</f>
        <v>225.84848857675883</v>
      </c>
      <c r="L44" s="14">
        <f>'2010'!$E40</f>
        <v>218.53715028420865</v>
      </c>
      <c r="M44" s="14">
        <f>'2011'!$E40</f>
        <v>216.61652808078597</v>
      </c>
      <c r="N44" s="14">
        <f>'2012'!$E40</f>
        <v>218.13810022314328</v>
      </c>
      <c r="O44" s="14">
        <f>'2013'!$E40</f>
        <v>211.03521538730513</v>
      </c>
      <c r="P44" s="14">
        <f>'2014'!$E40</f>
        <v>214.43148076904106</v>
      </c>
      <c r="Q44" s="14">
        <f>'2015'!$E40</f>
        <v>210.3429584161309</v>
      </c>
      <c r="R44" s="14">
        <f>'2016'!$E40</f>
        <v>113.65140078733295</v>
      </c>
      <c r="S44" s="14">
        <f>'2017'!$E40</f>
        <v>110.15107796751532</v>
      </c>
      <c r="T44" s="14">
        <f>'2018'!$E40</f>
        <v>112.8106946410411</v>
      </c>
      <c r="U44" s="14">
        <f>'2019'!$E40</f>
        <v>109.85416284296704</v>
      </c>
      <c r="V44" s="14">
        <f>'2020'!$E40</f>
        <v>92.859091771851567</v>
      </c>
      <c r="W44" s="14">
        <f>'2021'!$E40</f>
        <v>106.10143242919682</v>
      </c>
      <c r="X44" s="14">
        <f>'2022'!$E40</f>
        <v>113.24736045330083</v>
      </c>
    </row>
    <row r="45" spans="2:24" ht="20.100000000000001" customHeight="1" thickBot="1" x14ac:dyDescent="0.25">
      <c r="B45" s="9" t="s">
        <v>60</v>
      </c>
      <c r="C45" s="14">
        <f>'2001'!$E41</f>
        <v>109.96002950323343</v>
      </c>
      <c r="D45" s="14">
        <f>'2002'!$E41</f>
        <v>117.59154290203774</v>
      </c>
      <c r="E45" s="14">
        <f>'2003'!$E41</f>
        <v>118.39619296738968</v>
      </c>
      <c r="F45" s="14">
        <f>'2004'!$E41</f>
        <v>126.47698992966677</v>
      </c>
      <c r="G45" s="14">
        <f>'2005'!$E41</f>
        <v>122.90461389198317</v>
      </c>
      <c r="H45" s="14">
        <f>'2006'!$E41</f>
        <v>130.59637774336537</v>
      </c>
      <c r="I45" s="14">
        <f>'2007'!$E41</f>
        <v>136.27877541902009</v>
      </c>
      <c r="J45" s="14">
        <f>'2008'!$E41</f>
        <v>139.14364189553532</v>
      </c>
      <c r="K45" s="14">
        <f>'2009'!$E41</f>
        <v>139.05442026380555</v>
      </c>
      <c r="L45" s="14">
        <f>'2010'!$E41</f>
        <v>139.71883317065431</v>
      </c>
      <c r="M45" s="14">
        <f>'2011'!$E41</f>
        <v>137.19968246388433</v>
      </c>
      <c r="N45" s="14">
        <f>'2012'!$E41</f>
        <v>133.31420754464887</v>
      </c>
      <c r="O45" s="14">
        <f>'2013'!$E41</f>
        <v>131.42293497023536</v>
      </c>
      <c r="P45" s="14">
        <f>'2014'!$E41</f>
        <v>131.93388682167796</v>
      </c>
      <c r="Q45" s="14">
        <f>'2015'!$E41</f>
        <v>122.9963033842027</v>
      </c>
      <c r="R45" s="14">
        <f>'2016'!$E41</f>
        <v>70.726157748898004</v>
      </c>
      <c r="S45" s="14">
        <f>'2017'!$E41</f>
        <v>68.868842725126555</v>
      </c>
      <c r="T45" s="14">
        <f>'2018'!$E41</f>
        <v>67.614062545442735</v>
      </c>
      <c r="U45" s="14">
        <f>'2019'!$E41</f>
        <v>66.918223332516675</v>
      </c>
      <c r="V45" s="14">
        <f>'2020'!$E41</f>
        <v>57.045454395067395</v>
      </c>
      <c r="W45" s="14">
        <f>'2021'!$E41</f>
        <v>63.855708910059093</v>
      </c>
      <c r="X45" s="14">
        <f>'2022'!$E41</f>
        <v>69.684541049440043</v>
      </c>
    </row>
    <row r="46" spans="2:24" ht="20.100000000000001" customHeight="1" thickBot="1" x14ac:dyDescent="0.25">
      <c r="B46" s="9" t="s">
        <v>61</v>
      </c>
      <c r="C46" s="14">
        <f>'2001'!$E42</f>
        <v>76.186983495217191</v>
      </c>
      <c r="D46" s="14">
        <f>'2002'!$E42</f>
        <v>78.856727548505333</v>
      </c>
      <c r="E46" s="14">
        <f>'2003'!$E42</f>
        <v>81.709067639784848</v>
      </c>
      <c r="F46" s="14">
        <f>'2004'!$E42</f>
        <v>85.955323275198637</v>
      </c>
      <c r="G46" s="14">
        <f>'2005'!$E42</f>
        <v>95.886579316294615</v>
      </c>
      <c r="H46" s="14">
        <f>'2006'!$E42</f>
        <v>98.077006150789046</v>
      </c>
      <c r="I46" s="14">
        <f>'2007'!$E42</f>
        <v>104.35798744297513</v>
      </c>
      <c r="J46" s="14">
        <f>'2008'!$E42</f>
        <v>105.72442240766502</v>
      </c>
      <c r="K46" s="14">
        <f>'2009'!$E42</f>
        <v>107.04306207955241</v>
      </c>
      <c r="L46" s="14">
        <f>'2010'!$E42</f>
        <v>103.67484974659456</v>
      </c>
      <c r="M46" s="14">
        <f>'2011'!$E42</f>
        <v>97.959507889560172</v>
      </c>
      <c r="N46" s="14">
        <f>'2012'!$E42</f>
        <v>99.48089101814243</v>
      </c>
      <c r="O46" s="14">
        <f>'2013'!$E42</f>
        <v>111.68125472282175</v>
      </c>
      <c r="P46" s="14">
        <f>'2014'!$E42</f>
        <v>117.1038873890042</v>
      </c>
      <c r="Q46" s="14">
        <f>'2015'!$E42</f>
        <v>108.28040394956251</v>
      </c>
      <c r="R46" s="14">
        <f>'2016'!$E42</f>
        <v>52.902768607360997</v>
      </c>
      <c r="S46" s="14">
        <f>'2017'!$E42</f>
        <v>51.626624214516028</v>
      </c>
      <c r="T46" s="14">
        <f>'2018'!$E42</f>
        <v>49.906262643733186</v>
      </c>
      <c r="U46" s="14">
        <f>'2019'!$E42</f>
        <v>52.39264216296197</v>
      </c>
      <c r="V46" s="14">
        <f>'2020'!$E42</f>
        <v>45.717085830697961</v>
      </c>
      <c r="W46" s="14">
        <f>'2021'!$E42</f>
        <v>50.010808163413387</v>
      </c>
      <c r="X46" s="14">
        <f>'2022'!$E42</f>
        <v>58.066291076689595</v>
      </c>
    </row>
    <row r="47" spans="2:24" ht="20.100000000000001" customHeight="1" thickBot="1" x14ac:dyDescent="0.25">
      <c r="B47" s="9" t="s">
        <v>62</v>
      </c>
      <c r="C47" s="14">
        <f>'2001'!$E43</f>
        <v>70.923879137492278</v>
      </c>
      <c r="D47" s="14">
        <f>'2002'!$E43</f>
        <v>73.142351818668402</v>
      </c>
      <c r="E47" s="14">
        <f>'2003'!$E43</f>
        <v>77.711834442291789</v>
      </c>
      <c r="F47" s="14">
        <f>'2004'!$E43</f>
        <v>82.293436157268886</v>
      </c>
      <c r="G47" s="14">
        <f>'2005'!$E43</f>
        <v>82.681745225368502</v>
      </c>
      <c r="H47" s="14">
        <f>'2006'!$E43</f>
        <v>85.11800537985242</v>
      </c>
      <c r="I47" s="14">
        <f>'2007'!$E43</f>
        <v>88.520921507986913</v>
      </c>
      <c r="J47" s="14">
        <f>'2008'!$E43</f>
        <v>92.83574184987161</v>
      </c>
      <c r="K47" s="14">
        <f>'2009'!$E43</f>
        <v>97.103461426162397</v>
      </c>
      <c r="L47" s="14">
        <f>'2010'!$E43</f>
        <v>101.54257366080085</v>
      </c>
      <c r="M47" s="14">
        <f>'2011'!$E43</f>
        <v>91.812024953714399</v>
      </c>
      <c r="N47" s="14">
        <f>'2012'!$E43</f>
        <v>88.588584042124779</v>
      </c>
      <c r="O47" s="14">
        <f>'2013'!$E43</f>
        <v>92.864313610264318</v>
      </c>
      <c r="P47" s="14">
        <f>'2014'!$E43</f>
        <v>98.007092924761011</v>
      </c>
      <c r="Q47" s="14">
        <f>'2015'!$E43</f>
        <v>83.089660197681468</v>
      </c>
      <c r="R47" s="14">
        <f>'2016'!$E43</f>
        <v>52.595973358996098</v>
      </c>
      <c r="S47" s="14">
        <f>'2017'!$E43</f>
        <v>47.192633470225871</v>
      </c>
      <c r="T47" s="14">
        <f>'2018'!$E43</f>
        <v>43.350479965598964</v>
      </c>
      <c r="U47" s="14">
        <f>'2019'!$E43</f>
        <v>43.247055917256894</v>
      </c>
      <c r="V47" s="14">
        <f>'2020'!$E43</f>
        <v>37.475949779879343</v>
      </c>
      <c r="W47" s="14">
        <f>'2021'!$E43</f>
        <v>39.649698744852124</v>
      </c>
      <c r="X47" s="14">
        <f>'2022'!$E43</f>
        <v>42.493521130452166</v>
      </c>
    </row>
    <row r="48" spans="2:24" ht="20.100000000000001" customHeight="1" thickBot="1" x14ac:dyDescent="0.25">
      <c r="B48" s="9" t="s">
        <v>63</v>
      </c>
      <c r="C48" s="14">
        <f>'2001'!$E44</f>
        <v>89.063689418929215</v>
      </c>
      <c r="D48" s="14">
        <f>'2002'!$E44</f>
        <v>84.638750887154018</v>
      </c>
      <c r="E48" s="14">
        <f>'2003'!$E44</f>
        <v>82.309322639062657</v>
      </c>
      <c r="F48" s="14">
        <f>'2004'!$E44</f>
        <v>79.527559055118118</v>
      </c>
      <c r="G48" s="14">
        <f>'2005'!$E44</f>
        <v>92.897371895014146</v>
      </c>
      <c r="H48" s="14">
        <f>'2006'!$E44</f>
        <v>91.739675316049969</v>
      </c>
      <c r="I48" s="14">
        <f>'2007'!$E44</f>
        <v>97.125478269400574</v>
      </c>
      <c r="J48" s="14">
        <f>'2008'!$E44</f>
        <v>115.160215388518</v>
      </c>
      <c r="K48" s="14">
        <f>'2009'!$E44</f>
        <v>112.95627387395704</v>
      </c>
      <c r="L48" s="14">
        <f>'2010'!$E44</f>
        <v>115.89473074024694</v>
      </c>
      <c r="M48" s="14">
        <f>'2011'!$E44</f>
        <v>115.46123913600671</v>
      </c>
      <c r="N48" s="14">
        <f>'2012'!$E44</f>
        <v>108.38659035925794</v>
      </c>
      <c r="O48" s="14">
        <f>'2013'!$E44</f>
        <v>106.64969962416028</v>
      </c>
      <c r="P48" s="14">
        <f>'2014'!$E44</f>
        <v>106.22341282389371</v>
      </c>
      <c r="Q48" s="14">
        <f>'2015'!$E44</f>
        <v>102.89396813924776</v>
      </c>
      <c r="R48" s="14">
        <f>'2016'!$E44</f>
        <v>61.13797040888219</v>
      </c>
      <c r="S48" s="14">
        <f>'2017'!$E44</f>
        <v>58.198176142970809</v>
      </c>
      <c r="T48" s="14">
        <f>'2018'!$E44</f>
        <v>56.339679698830494</v>
      </c>
      <c r="U48" s="14">
        <f>'2019'!$E44</f>
        <v>56.491489626040504</v>
      </c>
      <c r="V48" s="14">
        <f>'2020'!$E44</f>
        <v>45.988984599646962</v>
      </c>
      <c r="W48" s="14">
        <f>'2021'!$E44</f>
        <v>54.008534278514105</v>
      </c>
      <c r="X48" s="14">
        <f>'2022'!$E44</f>
        <v>63.16497300830175</v>
      </c>
    </row>
    <row r="49" spans="2:24" ht="20.100000000000001" customHeight="1" thickBot="1" x14ac:dyDescent="0.25">
      <c r="B49" s="9" t="s">
        <v>64</v>
      </c>
      <c r="C49" s="14">
        <f>'2001'!$E45</f>
        <v>143.21546079315738</v>
      </c>
      <c r="D49" s="14">
        <f>'2002'!$E45</f>
        <v>142.67793997499572</v>
      </c>
      <c r="E49" s="14">
        <f>'2003'!$E45</f>
        <v>136.50283889645428</v>
      </c>
      <c r="F49" s="14">
        <f>'2004'!$E45</f>
        <v>131.50574190986379</v>
      </c>
      <c r="G49" s="14">
        <f>'2005'!$E45</f>
        <v>140.30346032524051</v>
      </c>
      <c r="H49" s="14">
        <f>'2006'!$E45</f>
        <v>146.65207296330939</v>
      </c>
      <c r="I49" s="14">
        <f>'2007'!$E45</f>
        <v>147.83841954610313</v>
      </c>
      <c r="J49" s="14">
        <f>'2008'!$E45</f>
        <v>150.85623607518281</v>
      </c>
      <c r="K49" s="14">
        <f>'2009'!$E45</f>
        <v>148.31629290947319</v>
      </c>
      <c r="L49" s="14">
        <f>'2010'!$E45</f>
        <v>145.72828842706571</v>
      </c>
      <c r="M49" s="14">
        <f>'2011'!$E45</f>
        <v>147.51773049645388</v>
      </c>
      <c r="N49" s="14">
        <f>'2012'!$E45</f>
        <v>143.69288880127687</v>
      </c>
      <c r="O49" s="14">
        <f>'2013'!$E45</f>
        <v>143.93441137835757</v>
      </c>
      <c r="P49" s="14">
        <f>'2014'!$E45</f>
        <v>143.22466630364528</v>
      </c>
      <c r="Q49" s="14">
        <f>'2015'!$E45</f>
        <v>136.26109107197158</v>
      </c>
      <c r="R49" s="14">
        <f>'2016'!$E45</f>
        <v>104.88886864638368</v>
      </c>
      <c r="S49" s="14">
        <f>'2017'!$E45</f>
        <v>105.68115731317243</v>
      </c>
      <c r="T49" s="14">
        <f>'2018'!$E45</f>
        <v>105.65059616381545</v>
      </c>
      <c r="U49" s="14">
        <f>'2019'!$E45</f>
        <v>104.57102157610723</v>
      </c>
      <c r="V49" s="14">
        <f>'2020'!$E45</f>
        <v>90.30427075367021</v>
      </c>
      <c r="W49" s="14">
        <f>'2021'!$E45</f>
        <v>91.078819606588695</v>
      </c>
      <c r="X49" s="14">
        <f>'2022'!$E45</f>
        <v>83.537210499592845</v>
      </c>
    </row>
    <row r="50" spans="2:24" ht="20.100000000000001" customHeight="1" thickBot="1" x14ac:dyDescent="0.25">
      <c r="B50" s="9" t="s">
        <v>65</v>
      </c>
      <c r="C50" s="14">
        <f>'2001'!$E46</f>
        <v>132.41778872181763</v>
      </c>
      <c r="D50" s="14">
        <f>'2002'!$E46</f>
        <v>131.38551243893585</v>
      </c>
      <c r="E50" s="14">
        <f>'2003'!$E46</f>
        <v>133.76673081380619</v>
      </c>
      <c r="F50" s="14">
        <f>'2004'!$E46</f>
        <v>129.31570653464115</v>
      </c>
      <c r="G50" s="14">
        <f>'2005'!$E46</f>
        <v>125.28468706004725</v>
      </c>
      <c r="H50" s="14">
        <f>'2006'!$E46</f>
        <v>119.32559799049322</v>
      </c>
      <c r="I50" s="14">
        <f>'2007'!$E46</f>
        <v>122.75560630155576</v>
      </c>
      <c r="J50" s="14">
        <f>'2008'!$E46</f>
        <v>132.65470946087689</v>
      </c>
      <c r="K50" s="14">
        <f>'2009'!$E46</f>
        <v>163.31827407571029</v>
      </c>
      <c r="L50" s="14">
        <f>'2010'!$E46</f>
        <v>154.08032649261486</v>
      </c>
      <c r="M50" s="14">
        <f>'2011'!$E46</f>
        <v>145.90388693019594</v>
      </c>
      <c r="N50" s="14">
        <f>'2012'!$E46</f>
        <v>133.3642172390623</v>
      </c>
      <c r="O50" s="14">
        <f>'2013'!$E46</f>
        <v>133.41919271242344</v>
      </c>
      <c r="P50" s="14">
        <f>'2014'!$E46</f>
        <v>127.11913422699514</v>
      </c>
      <c r="Q50" s="14">
        <f>'2015'!$E46</f>
        <v>119.41957452917222</v>
      </c>
      <c r="R50" s="14">
        <f>'2016'!$E46</f>
        <v>72.100691907415296</v>
      </c>
      <c r="S50" s="14">
        <f>'2017'!$E46</f>
        <v>61.447008743745563</v>
      </c>
      <c r="T50" s="14">
        <f>'2018'!$E46</f>
        <v>54.196769494102604</v>
      </c>
      <c r="U50" s="14">
        <f>'2019'!$E46</f>
        <v>58.779099680162098</v>
      </c>
      <c r="V50" s="14">
        <f>'2020'!$E46</f>
        <v>47.625998510695915</v>
      </c>
      <c r="W50" s="14">
        <f>'2021'!$E46</f>
        <v>51.572899843795504</v>
      </c>
      <c r="X50" s="14">
        <f>'2022'!$E46</f>
        <v>54.166423976066298</v>
      </c>
    </row>
    <row r="51" spans="2:24" ht="20.100000000000001" customHeight="1" thickBot="1" x14ac:dyDescent="0.25">
      <c r="B51" s="9" t="s">
        <v>30</v>
      </c>
      <c r="C51" s="14">
        <f>'2001'!$E47</f>
        <v>77.529585798816569</v>
      </c>
      <c r="D51" s="14">
        <f>'2002'!$E47</f>
        <v>78.124667097516465</v>
      </c>
      <c r="E51" s="14">
        <f>'2003'!$E47</f>
        <v>78.510038623473335</v>
      </c>
      <c r="F51" s="14">
        <f>'2004'!$E47</f>
        <v>79.430290271262777</v>
      </c>
      <c r="G51" s="14">
        <f>'2005'!$E47</f>
        <v>78.386762498173269</v>
      </c>
      <c r="H51" s="14">
        <f>'2006'!$E47</f>
        <v>76.728997281127505</v>
      </c>
      <c r="I51" s="14">
        <f>'2007'!$E47</f>
        <v>77.946583464954301</v>
      </c>
      <c r="J51" s="14">
        <f>'2008'!$E47</f>
        <v>86.900513699169451</v>
      </c>
      <c r="K51" s="14">
        <f>'2009'!$E47</f>
        <v>84.059160340936643</v>
      </c>
      <c r="L51" s="14">
        <f>'2010'!$E47</f>
        <v>80.024192422809108</v>
      </c>
      <c r="M51" s="14">
        <f>'2011'!$E47</f>
        <v>75.738105928070468</v>
      </c>
      <c r="N51" s="14">
        <f>'2012'!$E47</f>
        <v>71.428792153493873</v>
      </c>
      <c r="O51" s="14">
        <f>'2013'!$E47</f>
        <v>67.686870976657232</v>
      </c>
      <c r="P51" s="14">
        <f>'2014'!$E47</f>
        <v>66.720584823919594</v>
      </c>
      <c r="Q51" s="14">
        <f>'2015'!$E47</f>
        <v>64.94813170037817</v>
      </c>
      <c r="R51" s="14">
        <f>'2016'!$E47</f>
        <v>36.960803561815617</v>
      </c>
      <c r="S51" s="14">
        <f>'2017'!$E47</f>
        <v>36.314806535587117</v>
      </c>
      <c r="T51" s="14">
        <f>'2018'!$E47</f>
        <v>35.999049655500116</v>
      </c>
      <c r="U51" s="14">
        <f>'2019'!$E47</f>
        <v>36.711090347792599</v>
      </c>
      <c r="V51" s="14">
        <f>'2020'!$E47</f>
        <v>34.256081321855248</v>
      </c>
      <c r="W51" s="14">
        <f>'2021'!$E47</f>
        <v>41.179376852743623</v>
      </c>
      <c r="X51" s="14">
        <f>'2022'!$E47</f>
        <v>44.146893644698494</v>
      </c>
    </row>
    <row r="52" spans="2:24" ht="20.100000000000001" customHeight="1" thickBot="1" x14ac:dyDescent="0.25">
      <c r="B52" s="9" t="s">
        <v>66</v>
      </c>
      <c r="C52" s="14">
        <f>'2001'!$E48</f>
        <v>80.04077565111119</v>
      </c>
      <c r="D52" s="14">
        <f>'2002'!$E48</f>
        <v>82.403779672735652</v>
      </c>
      <c r="E52" s="14">
        <f>'2003'!$E48</f>
        <v>77.916335267650766</v>
      </c>
      <c r="F52" s="14">
        <f>'2004'!$E48</f>
        <v>74.561803387048982</v>
      </c>
      <c r="G52" s="14">
        <f>'2005'!$E48</f>
        <v>87.473823400886459</v>
      </c>
      <c r="H52" s="14">
        <f>'2006'!$E48</f>
        <v>97.122709637223522</v>
      </c>
      <c r="I52" s="14">
        <f>'2007'!$E48</f>
        <v>102.25260868822689</v>
      </c>
      <c r="J52" s="14">
        <f>'2008'!$E48</f>
        <v>125.74560559586196</v>
      </c>
      <c r="K52" s="14">
        <f>'2009'!$E48</f>
        <v>126.92043044714163</v>
      </c>
      <c r="L52" s="14">
        <f>'2010'!$E48</f>
        <v>120.92958805946513</v>
      </c>
      <c r="M52" s="14">
        <f>'2011'!$E48</f>
        <v>102.36100015298057</v>
      </c>
      <c r="N52" s="14">
        <f>'2012'!$E48</f>
        <v>102.58041327689095</v>
      </c>
      <c r="O52" s="14">
        <f>'2013'!$E48</f>
        <v>98.087675228911763</v>
      </c>
      <c r="P52" s="14">
        <f>'2014'!$E48</f>
        <v>98.157735670547424</v>
      </c>
      <c r="Q52" s="14">
        <f>'2015'!$E48</f>
        <v>95.519969357238608</v>
      </c>
      <c r="R52" s="14">
        <f>'2016'!$E48</f>
        <v>44.597229042963228</v>
      </c>
      <c r="S52" s="14">
        <f>'2017'!$E48</f>
        <v>46.018770814411141</v>
      </c>
      <c r="T52" s="14">
        <f>'2018'!$E48</f>
        <v>46.326548466994289</v>
      </c>
      <c r="U52" s="14">
        <f>'2019'!$E48</f>
        <v>45.341225436887903</v>
      </c>
      <c r="V52" s="14">
        <f>'2020'!$E48</f>
        <v>38.679402876277543</v>
      </c>
      <c r="W52" s="14">
        <f>'2021'!$E48</f>
        <v>39.488235401939278</v>
      </c>
      <c r="X52" s="14">
        <f>'2022'!$E48</f>
        <v>41.082917351483793</v>
      </c>
    </row>
    <row r="53" spans="2:24" ht="20.100000000000001" customHeight="1" thickBot="1" x14ac:dyDescent="0.25">
      <c r="B53" s="9" t="s">
        <v>67</v>
      </c>
      <c r="C53" s="14">
        <f>'2001'!$E49</f>
        <v>146.35367550256302</v>
      </c>
      <c r="D53" s="14">
        <f>'2002'!$E49</f>
        <v>140.22905329566561</v>
      </c>
      <c r="E53" s="14">
        <f>'2003'!$E49</f>
        <v>142.75147444119827</v>
      </c>
      <c r="F53" s="14">
        <f>'2004'!$E49</f>
        <v>136.63115082528014</v>
      </c>
      <c r="G53" s="14">
        <f>'2005'!$E49</f>
        <v>133.38185103392894</v>
      </c>
      <c r="H53" s="14">
        <f>'2006'!$E49</f>
        <v>133.03493964371836</v>
      </c>
      <c r="I53" s="14">
        <f>'2007'!$E49</f>
        <v>139.78166737817892</v>
      </c>
      <c r="J53" s="14">
        <f>'2008'!$E49</f>
        <v>137.50477167533521</v>
      </c>
      <c r="K53" s="14">
        <f>'2009'!$E49</f>
        <v>130.66958029965997</v>
      </c>
      <c r="L53" s="14">
        <f>'2010'!$E49</f>
        <v>129.21314429028109</v>
      </c>
      <c r="M53" s="14">
        <f>'2011'!$E49</f>
        <v>129.9771118161099</v>
      </c>
      <c r="N53" s="14">
        <f>'2012'!$E49</f>
        <v>136.12459964364723</v>
      </c>
      <c r="O53" s="14">
        <f>'2013'!$E49</f>
        <v>128.10039918055162</v>
      </c>
      <c r="P53" s="14">
        <f>'2014'!$E49</f>
        <v>131.59989968033059</v>
      </c>
      <c r="Q53" s="14">
        <f>'2015'!$E49</f>
        <v>124.3856672322587</v>
      </c>
      <c r="R53" s="14">
        <f>'2016'!$E49</f>
        <v>83.126187602328002</v>
      </c>
      <c r="S53" s="14">
        <f>'2017'!$E49</f>
        <v>79.716883294744861</v>
      </c>
      <c r="T53" s="14">
        <f>'2018'!$E49</f>
        <v>75.882416471119583</v>
      </c>
      <c r="U53" s="14">
        <f>'2019'!$E49</f>
        <v>76.055462674603561</v>
      </c>
      <c r="V53" s="14">
        <f>'2020'!$E49</f>
        <v>63.871021459736788</v>
      </c>
      <c r="W53" s="14">
        <f>'2021'!$E49</f>
        <v>68.898559466873479</v>
      </c>
      <c r="X53" s="14">
        <f>'2022'!$E49</f>
        <v>72.259324687262122</v>
      </c>
    </row>
    <row r="54" spans="2:24" ht="20.100000000000001" customHeight="1" thickBot="1" x14ac:dyDescent="0.25">
      <c r="B54" s="9" t="s">
        <v>68</v>
      </c>
      <c r="C54" s="14">
        <f>'2001'!$E50</f>
        <v>72.714040862964879</v>
      </c>
      <c r="D54" s="14">
        <f>'2002'!$E50</f>
        <v>76.631432284340121</v>
      </c>
      <c r="E54" s="14">
        <f>'2003'!$E50</f>
        <v>79.641143721674041</v>
      </c>
      <c r="F54" s="14">
        <f>'2004'!$E50</f>
        <v>82.272012578616355</v>
      </c>
      <c r="G54" s="14">
        <f>'2005'!$E50</f>
        <v>93.166663451584071</v>
      </c>
      <c r="H54" s="14">
        <f>'2006'!$E50</f>
        <v>95.26941595678106</v>
      </c>
      <c r="I54" s="14">
        <f>'2007'!$E50</f>
        <v>95.071615972684256</v>
      </c>
      <c r="J54" s="14">
        <f>'2008'!$E50</f>
        <v>95.650370044966721</v>
      </c>
      <c r="K54" s="14">
        <f>'2009'!$E50</f>
        <v>101.38668154852172</v>
      </c>
      <c r="L54" s="14">
        <f>'2010'!$E50</f>
        <v>97.048725253853448</v>
      </c>
      <c r="M54" s="14">
        <f>'2011'!$E50</f>
        <v>98.928543147610085</v>
      </c>
      <c r="N54" s="14">
        <f>'2012'!$E50</f>
        <v>96.963366137042541</v>
      </c>
      <c r="O54" s="14">
        <f>'2013'!$E50</f>
        <v>93.523889624123385</v>
      </c>
      <c r="P54" s="14">
        <f>'2014'!$E50</f>
        <v>89.163418140273563</v>
      </c>
      <c r="Q54" s="14">
        <f>'2015'!$E50</f>
        <v>91.33083708827823</v>
      </c>
      <c r="R54" s="14">
        <f>'2016'!$E50</f>
        <v>55.135815794207595</v>
      </c>
      <c r="S54" s="14">
        <f>'2017'!$E50</f>
        <v>56.4974316401183</v>
      </c>
      <c r="T54" s="14">
        <f>'2018'!$E50</f>
        <v>52.640502928095373</v>
      </c>
      <c r="U54" s="14">
        <f>'2019'!$E50</f>
        <v>53.210038594910174</v>
      </c>
      <c r="V54" s="14">
        <f>'2020'!$E50</f>
        <v>50.007167150992331</v>
      </c>
      <c r="W54" s="14">
        <f>'2021'!$E50</f>
        <v>54.443815362188687</v>
      </c>
      <c r="X54" s="14">
        <f>'2022'!$E50</f>
        <v>55.784411341702295</v>
      </c>
    </row>
    <row r="55" spans="2:24" ht="20.100000000000001" customHeight="1" thickBot="1" x14ac:dyDescent="0.25">
      <c r="B55" s="9" t="s">
        <v>69</v>
      </c>
      <c r="C55" s="14">
        <f>'2001'!$E51</f>
        <v>172.92200423361933</v>
      </c>
      <c r="D55" s="14">
        <f>'2002'!$E51</f>
        <v>181.27672398107714</v>
      </c>
      <c r="E55" s="14">
        <f>'2003'!$E51</f>
        <v>182.50767586049847</v>
      </c>
      <c r="F55" s="14">
        <f>'2004'!$E51</f>
        <v>186.65212394416486</v>
      </c>
      <c r="G55" s="14">
        <f>'2005'!$E51</f>
        <v>163.41788006888993</v>
      </c>
      <c r="H55" s="14">
        <f>'2006'!$E51</f>
        <v>168.21691950800974</v>
      </c>
      <c r="I55" s="14">
        <f>'2007'!$E51</f>
        <v>170.46366454186196</v>
      </c>
      <c r="J55" s="14">
        <f>'2008'!$E51</f>
        <v>173.87342425493023</v>
      </c>
      <c r="K55" s="14">
        <f>'2009'!$E51</f>
        <v>169.84523929810379</v>
      </c>
      <c r="L55" s="14">
        <f>'2010'!$E51</f>
        <v>169.81613345594928</v>
      </c>
      <c r="M55" s="14">
        <f>'2011'!$E51</f>
        <v>165.90269792769374</v>
      </c>
      <c r="N55" s="14">
        <f>'2012'!$E51</f>
        <v>163.70461904079167</v>
      </c>
      <c r="O55" s="14">
        <f>'2013'!$E51</f>
        <v>167.97680926599577</v>
      </c>
      <c r="P55" s="14">
        <f>'2014'!$E51</f>
        <v>162.65701018103334</v>
      </c>
      <c r="Q55" s="14">
        <f>'2015'!$E51</f>
        <v>143.91598162226754</v>
      </c>
      <c r="R55" s="14">
        <f>'2016'!$E51</f>
        <v>78.735420345143126</v>
      </c>
      <c r="S55" s="14">
        <f>'2017'!$E51</f>
        <v>74.08558890904844</v>
      </c>
      <c r="T55" s="14">
        <f>'2018'!$E51</f>
        <v>70.012325460194333</v>
      </c>
      <c r="U55" s="14">
        <f>'2019'!$E51</f>
        <v>69.964358323693148</v>
      </c>
      <c r="V55" s="14">
        <f>'2020'!$E51</f>
        <v>60.97417777182973</v>
      </c>
      <c r="W55" s="14">
        <f>'2021'!$E51</f>
        <v>68.308577859098122</v>
      </c>
      <c r="X55" s="14">
        <f>'2022'!$E51</f>
        <v>70.264578623016533</v>
      </c>
    </row>
    <row r="56" spans="2:24" ht="20.100000000000001" customHeight="1" thickBot="1" x14ac:dyDescent="0.25">
      <c r="B56" s="9" t="s">
        <v>70</v>
      </c>
      <c r="C56" s="14">
        <f>'2001'!$E52</f>
        <v>83.415467507720606</v>
      </c>
      <c r="D56" s="14">
        <f>'2002'!$E52</f>
        <v>81.913277296227875</v>
      </c>
      <c r="E56" s="14">
        <f>'2003'!$E52</f>
        <v>74.47720825911999</v>
      </c>
      <c r="F56" s="14">
        <f>'2004'!$E52</f>
        <v>76.888665822895305</v>
      </c>
      <c r="G56" s="14">
        <f>'2005'!$E52</f>
        <v>73.361861748569083</v>
      </c>
      <c r="H56" s="14">
        <f>'2006'!$E52</f>
        <v>81.120391859084734</v>
      </c>
      <c r="I56" s="14">
        <f>'2007'!$E52</f>
        <v>82.388640176081552</v>
      </c>
      <c r="J56" s="14">
        <f>'2008'!$E52</f>
        <v>87.145785347505438</v>
      </c>
      <c r="K56" s="14">
        <f>'2009'!$E52</f>
        <v>92.028474989747735</v>
      </c>
      <c r="L56" s="14">
        <f>'2010'!$E52</f>
        <v>97.230678788133275</v>
      </c>
      <c r="M56" s="14">
        <f>'2011'!$E52</f>
        <v>98.894174726694175</v>
      </c>
      <c r="N56" s="14">
        <f>'2012'!$E52</f>
        <v>93.100019043185711</v>
      </c>
      <c r="O56" s="14">
        <f>'2013'!$E52</f>
        <v>82.462402589746063</v>
      </c>
      <c r="P56" s="14">
        <f>'2014'!$E52</f>
        <v>78.431159931035239</v>
      </c>
      <c r="Q56" s="14">
        <f>'2015'!$E52</f>
        <v>77.247654000835112</v>
      </c>
      <c r="R56" s="14">
        <f>'2016'!$E52</f>
        <v>50.644158151932473</v>
      </c>
      <c r="S56" s="14">
        <f>'2017'!$E52</f>
        <v>54.227641361933799</v>
      </c>
      <c r="T56" s="14">
        <f>'2018'!$E52</f>
        <v>57.144469525959373</v>
      </c>
      <c r="U56" s="14">
        <f>'2019'!$E52</f>
        <v>57.166388374926662</v>
      </c>
      <c r="V56" s="14">
        <f>'2020'!$E52</f>
        <v>48.973943566896182</v>
      </c>
      <c r="W56" s="14">
        <f>'2021'!$E52</f>
        <v>54.67227061196435</v>
      </c>
      <c r="X56" s="14">
        <f>'2022'!$E52</f>
        <v>62.188017623130918</v>
      </c>
    </row>
    <row r="57" spans="2:24" ht="20.100000000000001" customHeight="1" thickBot="1" x14ac:dyDescent="0.25">
      <c r="B57" s="9" t="s">
        <v>71</v>
      </c>
      <c r="C57" s="14">
        <f>'2001'!$E53</f>
        <v>235.17937021921756</v>
      </c>
      <c r="D57" s="14">
        <f>'2002'!$E53</f>
        <v>178.68799472713562</v>
      </c>
      <c r="E57" s="14">
        <f>'2003'!$E53</f>
        <v>168.04275478522476</v>
      </c>
      <c r="F57" s="14">
        <f>'2004'!$E53</f>
        <v>163.51699340200312</v>
      </c>
      <c r="G57" s="14">
        <f>'2005'!$E53</f>
        <v>157.50162787431535</v>
      </c>
      <c r="H57" s="14">
        <f>'2006'!$E53</f>
        <v>154.21114740453353</v>
      </c>
      <c r="I57" s="14">
        <f>'2007'!$E53</f>
        <v>154.21716955113192</v>
      </c>
      <c r="J57" s="14">
        <f>'2008'!$E53</f>
        <v>159.20116111776599</v>
      </c>
      <c r="K57" s="14">
        <f>'2009'!$E53</f>
        <v>157.31463050587513</v>
      </c>
      <c r="L57" s="14">
        <f>'2010'!$E53</f>
        <v>166.39494322258233</v>
      </c>
      <c r="M57" s="14">
        <f>'2011'!$E53</f>
        <v>154.16544963587671</v>
      </c>
      <c r="N57" s="14">
        <f>'2012'!$E53</f>
        <v>148.85058812403358</v>
      </c>
      <c r="O57" s="14">
        <f>'2013'!$E53</f>
        <v>143.76593785563171</v>
      </c>
      <c r="P57" s="14">
        <f>'2014'!$E53</f>
        <v>140.27382073057149</v>
      </c>
      <c r="Q57" s="14">
        <f>'2015'!$E53</f>
        <v>132.40330473738558</v>
      </c>
      <c r="R57" s="14">
        <f>'2016'!$E53</f>
        <v>77.542695371318146</v>
      </c>
      <c r="S57" s="14">
        <f>'2017'!$E53</f>
        <v>83.235547112327623</v>
      </c>
      <c r="T57" s="14">
        <f>'2018'!$E53</f>
        <v>82.139509638121282</v>
      </c>
      <c r="U57" s="14">
        <f>'2019'!$E53</f>
        <v>82.164729626278799</v>
      </c>
      <c r="V57" s="14">
        <f>'2020'!$E53</f>
        <v>73.036294094312737</v>
      </c>
      <c r="W57" s="14">
        <f>'2021'!$E53</f>
        <v>82.436164507502653</v>
      </c>
      <c r="X57" s="14">
        <f>'2022'!$E53</f>
        <v>89.015199882282701</v>
      </c>
    </row>
    <row r="58" spans="2:24" ht="20.100000000000001" customHeight="1" thickBot="1" x14ac:dyDescent="0.25">
      <c r="B58" s="9" t="s">
        <v>72</v>
      </c>
      <c r="C58" s="14">
        <f>'2001'!$E54</f>
        <v>61.14524381023687</v>
      </c>
      <c r="D58" s="14">
        <f>'2002'!$E54</f>
        <v>61.714551994291618</v>
      </c>
      <c r="E58" s="14">
        <f>'2003'!$E54</f>
        <v>53.026260761720721</v>
      </c>
      <c r="F58" s="14">
        <f>'2004'!$E54</f>
        <v>59.418802437326406</v>
      </c>
      <c r="G58" s="14">
        <f>'2005'!$E54</f>
        <v>63.554727091026358</v>
      </c>
      <c r="H58" s="14">
        <f>'2006'!$E54</f>
        <v>63.716938660664042</v>
      </c>
      <c r="I58" s="14">
        <f>'2007'!$E54</f>
        <v>63.243686044735711</v>
      </c>
      <c r="J58" s="14">
        <f>'2008'!$E54</f>
        <v>65.102102184193981</v>
      </c>
      <c r="K58" s="14">
        <f>'2009'!$E54</f>
        <v>62.479983100626235</v>
      </c>
      <c r="L58" s="14">
        <f>'2010'!$E54</f>
        <v>66.844717333094707</v>
      </c>
      <c r="M58" s="14">
        <f>'2011'!$E54</f>
        <v>68.053413735158045</v>
      </c>
      <c r="N58" s="14">
        <f>'2012'!$E54</f>
        <v>63.988923522208616</v>
      </c>
      <c r="O58" s="14">
        <f>'2013'!$E54</f>
        <v>65.141402277346799</v>
      </c>
      <c r="P58" s="14">
        <f>'2014'!$E54</f>
        <v>66.184590175613579</v>
      </c>
      <c r="Q58" s="14">
        <f>'2015'!$E54</f>
        <v>61.051449630034838</v>
      </c>
      <c r="R58" s="14">
        <f>'2016'!$E54</f>
        <v>44.562225775130131</v>
      </c>
      <c r="S58" s="14">
        <f>'2017'!$E54</f>
        <v>44.924093772591142</v>
      </c>
      <c r="T58" s="14">
        <f>'2018'!$E54</f>
        <v>45.953095740570106</v>
      </c>
      <c r="U58" s="14">
        <f>'2019'!$E54</f>
        <v>46.437597381781309</v>
      </c>
      <c r="V58" s="14">
        <f>'2020'!$E54</f>
        <v>38.814691151919867</v>
      </c>
      <c r="W58" s="14">
        <f>'2021'!$E54</f>
        <v>44.810286521238247</v>
      </c>
      <c r="X58" s="14">
        <f>'2022'!$E54</f>
        <v>49.730573414099375</v>
      </c>
    </row>
    <row r="59" spans="2:24" ht="20.100000000000001" customHeight="1" thickBot="1" x14ac:dyDescent="0.25">
      <c r="B59" s="9" t="s">
        <v>73</v>
      </c>
      <c r="C59" s="14">
        <f>'2001'!$E55</f>
        <v>71.010629864715895</v>
      </c>
      <c r="D59" s="14">
        <f>'2002'!$E55</f>
        <v>74.058894349523726</v>
      </c>
      <c r="E59" s="14">
        <f>'2003'!$E55</f>
        <v>76.521180112200526</v>
      </c>
      <c r="F59" s="14">
        <f>'2004'!$E55</f>
        <v>71.838563470919979</v>
      </c>
      <c r="G59" s="14">
        <f>'2005'!$E55</f>
        <v>80.288371533256665</v>
      </c>
      <c r="H59" s="14">
        <f>'2006'!$E55</f>
        <v>90.437576549093762</v>
      </c>
      <c r="I59" s="14">
        <f>'2007'!$E55</f>
        <v>90.245629833917278</v>
      </c>
      <c r="J59" s="14">
        <f>'2008'!$E55</f>
        <v>95.914223004074884</v>
      </c>
      <c r="K59" s="14">
        <f>'2009'!$E55</f>
        <v>101.76397659631544</v>
      </c>
      <c r="L59" s="14">
        <f>'2010'!$E55</f>
        <v>97.114586959979036</v>
      </c>
      <c r="M59" s="14">
        <f>'2011'!$E55</f>
        <v>101.54232921687344</v>
      </c>
      <c r="N59" s="14">
        <f>'2012'!$E55</f>
        <v>110.27687323896134</v>
      </c>
      <c r="O59" s="14">
        <f>'2013'!$E55</f>
        <v>108.54932071737682</v>
      </c>
      <c r="P59" s="14">
        <f>'2014'!$E55</f>
        <v>108.40952261076529</v>
      </c>
      <c r="Q59" s="14">
        <f>'2015'!$E55</f>
        <v>102.40405208755486</v>
      </c>
      <c r="R59" s="14">
        <f>'2016'!$E55</f>
        <v>54.632684354816227</v>
      </c>
      <c r="S59" s="14">
        <f>'2017'!$E55</f>
        <v>50.065444549757508</v>
      </c>
      <c r="T59" s="14">
        <f>'2018'!$E55</f>
        <v>50.034114499607938</v>
      </c>
      <c r="U59" s="14">
        <f>'2019'!$E55</f>
        <v>48.741875874296966</v>
      </c>
      <c r="V59" s="14">
        <f>'2020'!$E55</f>
        <v>42.394411826557459</v>
      </c>
      <c r="W59" s="14">
        <f>'2021'!$E55</f>
        <v>45.329664520730809</v>
      </c>
      <c r="X59" s="14">
        <f>'2022'!$E55</f>
        <v>47.958635641518292</v>
      </c>
    </row>
    <row r="60" spans="2:24" ht="20.100000000000001" customHeight="1" thickBot="1" x14ac:dyDescent="0.25">
      <c r="B60" s="9" t="s">
        <v>74</v>
      </c>
      <c r="C60" s="14">
        <f>'2001'!$E56</f>
        <v>157.81282973459594</v>
      </c>
      <c r="D60" s="14">
        <f>'2002'!$E56</f>
        <v>163.72944159280053</v>
      </c>
      <c r="E60" s="14">
        <f>'2003'!$E56</f>
        <v>155.22064632243197</v>
      </c>
      <c r="F60" s="14">
        <f>'2004'!$E56</f>
        <v>153.06799428043101</v>
      </c>
      <c r="G60" s="14">
        <f>'2005'!$E56</f>
        <v>155.33958888169798</v>
      </c>
      <c r="H60" s="14">
        <f>'2006'!$E56</f>
        <v>156.7166965958649</v>
      </c>
      <c r="I60" s="14">
        <f>'2007'!$E56</f>
        <v>164.78616584147167</v>
      </c>
      <c r="J60" s="14">
        <f>'2008'!$E56</f>
        <v>157.87652528754026</v>
      </c>
      <c r="K60" s="14">
        <f>'2009'!$E56</f>
        <v>151.7608010058392</v>
      </c>
      <c r="L60" s="14">
        <f>'2010'!$E56</f>
        <v>140.20084869246114</v>
      </c>
      <c r="M60" s="14">
        <f>'2011'!$E56</f>
        <v>140.99713850171344</v>
      </c>
      <c r="N60" s="14">
        <f>'2012'!$E56</f>
        <v>138.47105849677152</v>
      </c>
      <c r="O60" s="14">
        <f>'2013'!$E56</f>
        <v>133.65769534388426</v>
      </c>
      <c r="P60" s="14">
        <f>'2014'!$E56</f>
        <v>132.6361431489216</v>
      </c>
      <c r="Q60" s="14">
        <f>'2015'!$E56</f>
        <v>122.05212488425539</v>
      </c>
      <c r="R60" s="14">
        <f>'2016'!$E56</f>
        <v>67.531514025274106</v>
      </c>
      <c r="S60" s="14">
        <f>'2017'!$E56</f>
        <v>65.095266789913197</v>
      </c>
      <c r="T60" s="14">
        <f>'2018'!$E56</f>
        <v>65.827677232135485</v>
      </c>
      <c r="U60" s="14">
        <f>'2019'!$E56</f>
        <v>64.91460061969714</v>
      </c>
      <c r="V60" s="14">
        <f>'2020'!$E56</f>
        <v>56.199469496021216</v>
      </c>
      <c r="W60" s="14">
        <f>'2021'!$E56</f>
        <v>63.027939468090366</v>
      </c>
      <c r="X60" s="14">
        <f>'2022'!$E56</f>
        <v>68.716709303475199</v>
      </c>
    </row>
    <row r="61" spans="2:24" ht="20.100000000000001" customHeight="1" thickBot="1" x14ac:dyDescent="0.25">
      <c r="B61" s="9" t="s">
        <v>75</v>
      </c>
      <c r="C61" s="14">
        <f>'2001'!$E57</f>
        <v>85.510712686334884</v>
      </c>
      <c r="D61" s="14">
        <f>'2002'!$E57</f>
        <v>87.254094026422848</v>
      </c>
      <c r="E61" s="14">
        <f>'2003'!$E57</f>
        <v>87.102164320899391</v>
      </c>
      <c r="F61" s="14">
        <f>'2004'!$E57</f>
        <v>91.245598134920712</v>
      </c>
      <c r="G61" s="14">
        <f>'2005'!$E57</f>
        <v>94.570543683963052</v>
      </c>
      <c r="H61" s="14">
        <f>'2006'!$E57</f>
        <v>96.29869291996711</v>
      </c>
      <c r="I61" s="14">
        <f>'2007'!$E57</f>
        <v>101.91676203511476</v>
      </c>
      <c r="J61" s="14">
        <f>'2008'!$E57</f>
        <v>106.59730557881663</v>
      </c>
      <c r="K61" s="14">
        <f>'2009'!$E57</f>
        <v>142.2334882410928</v>
      </c>
      <c r="L61" s="14">
        <f>'2010'!$E57</f>
        <v>112.09429577992654</v>
      </c>
      <c r="M61" s="14">
        <f>'2011'!$E57</f>
        <v>101.42762594554979</v>
      </c>
      <c r="N61" s="14">
        <f>'2012'!$E57</f>
        <v>102.45751291457663</v>
      </c>
      <c r="O61" s="14">
        <f>'2013'!$E57</f>
        <v>101.82909875179416</v>
      </c>
      <c r="P61" s="14">
        <f>'2014'!$E57</f>
        <v>98.035176705590217</v>
      </c>
      <c r="Q61" s="14">
        <f>'2015'!$E57</f>
        <v>94.16517192107743</v>
      </c>
      <c r="R61" s="14">
        <f>'2016'!$E57</f>
        <v>50.229243486945251</v>
      </c>
      <c r="S61" s="14">
        <f>'2017'!$E57</f>
        <v>45.721796864505976</v>
      </c>
      <c r="T61" s="14">
        <f>'2018'!$E57</f>
        <v>45.934315794333372</v>
      </c>
      <c r="U61" s="14">
        <f>'2019'!$E57</f>
        <v>45.972830124762773</v>
      </c>
      <c r="V61" s="14">
        <f>'2020'!$E57</f>
        <v>37.919980639547951</v>
      </c>
      <c r="W61" s="14">
        <f>'2021'!$E57</f>
        <v>44.475807771473022</v>
      </c>
      <c r="X61" s="14">
        <f>'2022'!$E57</f>
        <v>46.932673034748468</v>
      </c>
    </row>
    <row r="62" spans="2:24" ht="20.100000000000001" customHeight="1" thickBot="1" x14ac:dyDescent="0.25">
      <c r="B62" s="9" t="s">
        <v>76</v>
      </c>
      <c r="C62" s="14">
        <f>'2001'!$E58</f>
        <v>66.126035304117494</v>
      </c>
      <c r="D62" s="14">
        <f>'2002'!$E58</f>
        <v>64.486391134055552</v>
      </c>
      <c r="E62" s="14">
        <f>'2003'!$E58</f>
        <v>62.908136693241453</v>
      </c>
      <c r="F62" s="14">
        <f>'2004'!$E58</f>
        <v>65.357337148153363</v>
      </c>
      <c r="G62" s="14">
        <f>'2005'!$E58</f>
        <v>68.625817364740342</v>
      </c>
      <c r="H62" s="14">
        <f>'2006'!$E58</f>
        <v>67.97237356449881</v>
      </c>
      <c r="I62" s="14">
        <f>'2007'!$E58</f>
        <v>71.913484792407104</v>
      </c>
      <c r="J62" s="14">
        <f>'2008'!$E58</f>
        <v>75.864132115748333</v>
      </c>
      <c r="K62" s="14">
        <f>'2009'!$E58</f>
        <v>85.922367311476251</v>
      </c>
      <c r="L62" s="14">
        <f>'2010'!$E58</f>
        <v>102.35101485989681</v>
      </c>
      <c r="M62" s="14">
        <f>'2011'!$E58</f>
        <v>104.60588572935573</v>
      </c>
      <c r="N62" s="14">
        <f>'2012'!$E58</f>
        <v>87.155292987913086</v>
      </c>
      <c r="O62" s="14">
        <f>'2013'!$E58</f>
        <v>86.859297816964997</v>
      </c>
      <c r="P62" s="14">
        <f>'2014'!$E58</f>
        <v>87.444454031666595</v>
      </c>
      <c r="Q62" s="14">
        <f>'2015'!$E58</f>
        <v>82.028609433262829</v>
      </c>
      <c r="R62" s="14">
        <f>'2016'!$E58</f>
        <v>52.265445716883036</v>
      </c>
      <c r="S62" s="14">
        <f>'2017'!$E58</f>
        <v>51.571554192690137</v>
      </c>
      <c r="T62" s="14">
        <f>'2018'!$E58</f>
        <v>52.22602249225146</v>
      </c>
      <c r="U62" s="14">
        <f>'2019'!$E58</f>
        <v>51.275363830786084</v>
      </c>
      <c r="V62" s="14">
        <f>'2020'!$E58</f>
        <v>45.161441601988415</v>
      </c>
      <c r="W62" s="14">
        <f>'2021'!$E58</f>
        <v>50.448955400800116</v>
      </c>
      <c r="X62" s="14">
        <f>'2022'!$E58</f>
        <v>53.898355311898058</v>
      </c>
    </row>
    <row r="63" spans="2:24" ht="20.100000000000001" customHeight="1" thickBot="1" x14ac:dyDescent="0.25">
      <c r="B63" s="9" t="s">
        <v>77</v>
      </c>
      <c r="C63" s="14">
        <f>'2001'!$E59</f>
        <v>100.59878843003155</v>
      </c>
      <c r="D63" s="14">
        <f>'2002'!$E59</f>
        <v>99.192042322795103</v>
      </c>
      <c r="E63" s="14">
        <f>'2003'!$E59</f>
        <v>97.803930836546911</v>
      </c>
      <c r="F63" s="14">
        <f>'2004'!$E59</f>
        <v>97.868167381735105</v>
      </c>
      <c r="G63" s="14">
        <f>'2005'!$E59</f>
        <v>101.97330912471821</v>
      </c>
      <c r="H63" s="14">
        <f>'2006'!$E59</f>
        <v>116.4770497379231</v>
      </c>
      <c r="I63" s="14">
        <f>'2007'!$E59</f>
        <v>133.79381491943181</v>
      </c>
      <c r="J63" s="14">
        <f>'2008'!$E59</f>
        <v>139.39997257472081</v>
      </c>
      <c r="K63" s="14">
        <f>'2009'!$E59</f>
        <v>136.17873820097225</v>
      </c>
      <c r="L63" s="14">
        <f>'2010'!$E59</f>
        <v>119.99975340405157</v>
      </c>
      <c r="M63" s="14">
        <f>'2011'!$E59</f>
        <v>114.23933424087535</v>
      </c>
      <c r="N63" s="14">
        <f>'2012'!$E59</f>
        <v>108.77797429789496</v>
      </c>
      <c r="O63" s="14">
        <f>'2013'!$E59</f>
        <v>101.36332331260384</v>
      </c>
      <c r="P63" s="14">
        <f>'2014'!$E59</f>
        <v>105.16388209279968</v>
      </c>
      <c r="Q63" s="14">
        <f>'2015'!$E59</f>
        <v>99.726361550032124</v>
      </c>
      <c r="R63" s="14">
        <f>'2016'!$E59</f>
        <v>62.739148685911836</v>
      </c>
      <c r="S63" s="14">
        <f>'2017'!$E59</f>
        <v>63.468157896392817</v>
      </c>
      <c r="T63" s="14">
        <f>'2018'!$E59</f>
        <v>62.922400349388525</v>
      </c>
      <c r="U63" s="14">
        <f>'2019'!$E59</f>
        <v>67.474315663117693</v>
      </c>
      <c r="V63" s="14">
        <f>'2020'!$E59</f>
        <v>50.94557688827468</v>
      </c>
      <c r="W63" s="14">
        <f>'2021'!$E59</f>
        <v>58.552775744946523</v>
      </c>
      <c r="X63" s="14">
        <f>'2022'!$E59</f>
        <v>62.804149456510501</v>
      </c>
    </row>
    <row r="64" spans="2:24" ht="20.100000000000001" customHeight="1" thickBot="1" x14ac:dyDescent="0.25">
      <c r="B64" s="9" t="s">
        <v>78</v>
      </c>
      <c r="C64" s="14">
        <f>'2001'!$E60</f>
        <v>208.99939229000978</v>
      </c>
      <c r="D64" s="14">
        <f>'2002'!$E60</f>
        <v>226.74388065973318</v>
      </c>
      <c r="E64" s="14">
        <f>'2003'!$E60</f>
        <v>223.80590142931499</v>
      </c>
      <c r="F64" s="14">
        <f>'2004'!$E60</f>
        <v>238.56725694537468</v>
      </c>
      <c r="G64" s="14">
        <f>'2005'!$E60</f>
        <v>228.10723205271267</v>
      </c>
      <c r="H64" s="14">
        <f>'2006'!$E60</f>
        <v>222.9604144422035</v>
      </c>
      <c r="I64" s="14">
        <f>'2007'!$E60</f>
        <v>214.31275537511584</v>
      </c>
      <c r="J64" s="14">
        <f>'2008'!$E60</f>
        <v>199.58908888860174</v>
      </c>
      <c r="K64" s="14">
        <f>'2009'!$E60</f>
        <v>181.64832091923637</v>
      </c>
      <c r="L64" s="14">
        <f>'2010'!$E60</f>
        <v>187.56748036088808</v>
      </c>
      <c r="M64" s="14">
        <f>'2011'!$E60</f>
        <v>178.66854423618531</v>
      </c>
      <c r="N64" s="14">
        <f>'2012'!$E60</f>
        <v>199.71910781023115</v>
      </c>
      <c r="O64" s="14">
        <f>'2013'!$E60</f>
        <v>174.62580185317179</v>
      </c>
      <c r="P64" s="14">
        <f>'2014'!$E60</f>
        <v>144.67474076951143</v>
      </c>
      <c r="Q64" s="14">
        <f>'2015'!$E60</f>
        <v>135.70606315939378</v>
      </c>
      <c r="R64" s="14">
        <f>'2016'!$E60</f>
        <v>109.77413362675847</v>
      </c>
      <c r="S64" s="14">
        <f>'2017'!$E60</f>
        <v>116.26784684377169</v>
      </c>
      <c r="T64" s="14">
        <f>'2018'!$E60</f>
        <v>105.58583106267031</v>
      </c>
      <c r="U64" s="14">
        <f>'2019'!$E60</f>
        <v>118.4283473111811</v>
      </c>
      <c r="V64" s="14">
        <f>'2020'!$E60</f>
        <v>101.14961639866037</v>
      </c>
      <c r="W64" s="14">
        <f>'2021'!$E60</f>
        <v>106.33763185938193</v>
      </c>
      <c r="X64" s="14">
        <f>'2022'!$E60</f>
        <v>98.782283846402535</v>
      </c>
    </row>
    <row r="65" spans="2:24" ht="20.100000000000001" customHeight="1" thickBot="1" x14ac:dyDescent="0.25">
      <c r="B65" s="9" t="s">
        <v>79</v>
      </c>
      <c r="C65" s="14">
        <f>'2001'!$E61</f>
        <v>208.04198345665731</v>
      </c>
      <c r="D65" s="14">
        <f>'2002'!$E61</f>
        <v>203.65980573543015</v>
      </c>
      <c r="E65" s="14">
        <f>'2003'!$E61</f>
        <v>231.21978294845391</v>
      </c>
      <c r="F65" s="14">
        <f>'2004'!$E61</f>
        <v>232.73935544577745</v>
      </c>
      <c r="G65" s="14">
        <f>'2005'!$E61</f>
        <v>229.21756657708283</v>
      </c>
      <c r="H65" s="14">
        <f>'2006'!$E61</f>
        <v>192.69937641129937</v>
      </c>
      <c r="I65" s="14">
        <f>'2007'!$E61</f>
        <v>195.92453917050693</v>
      </c>
      <c r="J65" s="14">
        <f>'2008'!$E61</f>
        <v>217.52883215765311</v>
      </c>
      <c r="K65" s="14">
        <f>'2009'!$E61</f>
        <v>214.08930029948269</v>
      </c>
      <c r="L65" s="14">
        <f>'2010'!$E61</f>
        <v>203.34324118157664</v>
      </c>
      <c r="M65" s="14">
        <f>'2011'!$E61</f>
        <v>211.95015036444261</v>
      </c>
      <c r="N65" s="14">
        <f>'2012'!$E61</f>
        <v>203.47268631964553</v>
      </c>
      <c r="O65" s="14">
        <f>'2013'!$E61</f>
        <v>207.81797105605946</v>
      </c>
      <c r="P65" s="14">
        <f>'2014'!$E61</f>
        <v>186.57184441893762</v>
      </c>
      <c r="Q65" s="14">
        <f>'2015'!$E61</f>
        <v>159.3405309403627</v>
      </c>
      <c r="R65" s="14">
        <f>'2016'!$E61</f>
        <v>108.87406133029549</v>
      </c>
      <c r="S65" s="14">
        <f>'2017'!$E61</f>
        <v>94.472828611240132</v>
      </c>
      <c r="T65" s="14">
        <f>'2018'!$E61</f>
        <v>98.721985552880156</v>
      </c>
      <c r="U65" s="14">
        <f>'2019'!$E61</f>
        <v>99.587221200874126</v>
      </c>
      <c r="V65" s="14">
        <f>'2020'!$E61</f>
        <v>85.17846478937939</v>
      </c>
      <c r="W65" s="14">
        <f>'2021'!$E61</f>
        <v>90.805810273472375</v>
      </c>
      <c r="X65" s="14">
        <f>'2022'!$E61</f>
        <v>94.619816603099892</v>
      </c>
    </row>
    <row r="66" spans="2:24" ht="20.100000000000001" customHeight="1" thickBot="1" x14ac:dyDescent="0.25">
      <c r="B66" s="12" t="s">
        <v>6</v>
      </c>
      <c r="C66" s="15">
        <f>'2001'!$E62</f>
        <v>115.90998239032733</v>
      </c>
      <c r="D66" s="15">
        <f>'2002'!$E62</f>
        <v>118.92670062860769</v>
      </c>
      <c r="E66" s="15">
        <f>'2003'!$E62</f>
        <v>120.26851164984244</v>
      </c>
      <c r="F66" s="15">
        <f>'2004'!$E62</f>
        <v>122.1436459039496</v>
      </c>
      <c r="G66" s="15">
        <f>'2005'!$E62</f>
        <v>125.80585745999345</v>
      </c>
      <c r="H66" s="15">
        <f>'2006'!$E62</f>
        <v>130.96031334790516</v>
      </c>
      <c r="I66" s="15">
        <f>'2007'!$E62</f>
        <v>135.43672426248384</v>
      </c>
      <c r="J66" s="15">
        <f>'2008'!$E62</f>
        <v>141.90284438771238</v>
      </c>
      <c r="K66" s="15">
        <f>'2009'!$E62</f>
        <v>144.69683286133434</v>
      </c>
      <c r="L66" s="15">
        <f>'2010'!$E62</f>
        <v>142.54346354596777</v>
      </c>
      <c r="M66" s="15">
        <f>'2011'!$E62</f>
        <v>140.46395814561376</v>
      </c>
      <c r="N66" s="15">
        <f>'2012'!$E62</f>
        <v>138.3298063313915</v>
      </c>
      <c r="O66" s="15">
        <f>'2013'!$E62</f>
        <v>135.37316694026379</v>
      </c>
      <c r="P66" s="15">
        <f>'2014'!$E62</f>
        <v>132.54866665756251</v>
      </c>
      <c r="Q66" s="15">
        <f>'2015'!$E62</f>
        <v>124.66841758500556</v>
      </c>
      <c r="R66" s="15">
        <f>'2016'!$E62</f>
        <v>72.273715104990259</v>
      </c>
      <c r="S66" s="15">
        <f>'2017'!$E62</f>
        <v>69.423426868239574</v>
      </c>
      <c r="T66" s="15">
        <f>'2018'!$E62</f>
        <v>67.454986818049704</v>
      </c>
      <c r="U66" s="15">
        <f>'2019'!$E62</f>
        <v>68.326027903419302</v>
      </c>
      <c r="V66" s="15">
        <f>'2020'!$E62</f>
        <v>57.327216540839828</v>
      </c>
      <c r="W66" s="15">
        <f>'2021'!$E62</f>
        <v>63.63429758637033</v>
      </c>
      <c r="X66" s="15">
        <f>'2022'!$E62</f>
        <v>67.881876894358385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/>
  <dimension ref="A1:X66"/>
  <sheetViews>
    <sheetView workbookViewId="0"/>
  </sheetViews>
  <sheetFormatPr baseColWidth="10" defaultColWidth="11.42578125" defaultRowHeight="12.75" x14ac:dyDescent="0.2"/>
  <cols>
    <col min="1" max="1" width="11.42578125" style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1.42578125" style="1"/>
  </cols>
  <sheetData>
    <row r="1" spans="1:24" ht="15" thickBot="1" x14ac:dyDescent="0.25">
      <c r="A1" s="14"/>
    </row>
    <row r="12" spans="1:24" ht="13.5" thickBot="1" x14ac:dyDescent="0.25"/>
    <row r="13" spans="1:24" ht="20.100000000000001" customHeight="1" thickBot="1" x14ac:dyDescent="0.25">
      <c r="B13" s="10"/>
      <c r="C13" s="10">
        <v>2001</v>
      </c>
      <c r="D13" s="10">
        <v>2002</v>
      </c>
      <c r="E13" s="10">
        <v>2003</v>
      </c>
      <c r="F13" s="10">
        <v>2004</v>
      </c>
      <c r="G13" s="10">
        <v>2005</v>
      </c>
      <c r="H13" s="10">
        <v>2006</v>
      </c>
      <c r="I13" s="10">
        <v>2007</v>
      </c>
      <c r="J13" s="10">
        <v>2008</v>
      </c>
      <c r="K13" s="10">
        <v>2009</v>
      </c>
      <c r="L13" s="10">
        <v>2010</v>
      </c>
      <c r="M13" s="10">
        <v>2011</v>
      </c>
      <c r="N13" s="10">
        <v>2012</v>
      </c>
      <c r="O13" s="10">
        <v>2013</v>
      </c>
      <c r="P13" s="10">
        <v>2014</v>
      </c>
      <c r="Q13" s="10">
        <v>2015</v>
      </c>
      <c r="R13" s="10">
        <v>2016</v>
      </c>
      <c r="S13" s="10">
        <v>2017</v>
      </c>
      <c r="T13" s="10">
        <v>2018</v>
      </c>
      <c r="U13" s="10">
        <v>2019</v>
      </c>
      <c r="V13" s="10">
        <v>2020</v>
      </c>
      <c r="W13" s="10">
        <v>2021</v>
      </c>
      <c r="X13" s="10">
        <v>2022</v>
      </c>
    </row>
    <row r="14" spans="1:24" ht="20.100000000000001" customHeight="1" thickBot="1" x14ac:dyDescent="0.25">
      <c r="B14" s="9" t="s">
        <v>31</v>
      </c>
      <c r="C14" s="14">
        <f>'2001'!$F10</f>
        <v>2.4667626870832575</v>
      </c>
      <c r="D14" s="14">
        <f>'2002'!$F10</f>
        <v>2.3427392566173646</v>
      </c>
      <c r="E14" s="14">
        <f>'2003'!$F10</f>
        <v>2.0979615249790204</v>
      </c>
      <c r="F14" s="14">
        <f>'2004'!$F10</f>
        <v>2.7118340325947168</v>
      </c>
      <c r="G14" s="14">
        <f>'2005'!$F10</f>
        <v>2.2020590682196342</v>
      </c>
      <c r="H14" s="14">
        <f>'2006'!$F10</f>
        <v>2.2648829638495789</v>
      </c>
      <c r="I14" s="14">
        <f>'2007'!$F10</f>
        <v>2.5834587233174364</v>
      </c>
      <c r="J14" s="14">
        <f>'2008'!$F10</f>
        <v>2.782438936031578</v>
      </c>
      <c r="K14" s="14">
        <f>'2009'!$F10</f>
        <v>2.8661157272176228</v>
      </c>
      <c r="L14" s="14">
        <f>'2010'!$F10</f>
        <v>2.9451157881109933</v>
      </c>
      <c r="M14" s="14">
        <f>'2011'!$F10</f>
        <v>3.4201800565721641</v>
      </c>
      <c r="N14" s="14">
        <f>'2012'!$F10</f>
        <v>2.7207034110570776</v>
      </c>
      <c r="O14" s="14">
        <f>'2013'!$F10</f>
        <v>2.2574604944413474</v>
      </c>
      <c r="P14" s="14">
        <f>'2014'!$F10</f>
        <v>2.1360900986682183</v>
      </c>
      <c r="Q14" s="14">
        <f>'2015'!$F10</f>
        <v>1.829793704698667</v>
      </c>
      <c r="R14" s="14">
        <f>'2016'!$F10</f>
        <v>1.9687951075951626</v>
      </c>
      <c r="S14" s="14">
        <f>'2017'!$F10</f>
        <v>2.1023915986380604</v>
      </c>
      <c r="T14" s="14">
        <f>'2018'!$F10</f>
        <v>2.1451389710534845</v>
      </c>
      <c r="U14" s="14">
        <f>'2019'!$F10</f>
        <v>2.5298389610657268</v>
      </c>
      <c r="V14" s="14">
        <f>'2020'!$F10</f>
        <v>1.8981636490071343</v>
      </c>
      <c r="W14" s="14">
        <f>'2021'!$F10</f>
        <v>2.1295644613728575</v>
      </c>
      <c r="X14" s="14">
        <f>'2022'!$F10</f>
        <v>2.3132814440672353</v>
      </c>
    </row>
    <row r="15" spans="1:24" ht="20.100000000000001" customHeight="1" thickBot="1" x14ac:dyDescent="0.25">
      <c r="B15" s="9" t="s">
        <v>32</v>
      </c>
      <c r="C15" s="14">
        <f>'2001'!$F11</f>
        <v>1.0971203108172036</v>
      </c>
      <c r="D15" s="14">
        <f>'2002'!$F11</f>
        <v>1.1861604346173991</v>
      </c>
      <c r="E15" s="14">
        <f>'2003'!$F11</f>
        <v>1.5756434438958826</v>
      </c>
      <c r="F15" s="14">
        <f>'2004'!$F11</f>
        <v>1.8533046878771786</v>
      </c>
      <c r="G15" s="14">
        <f>'2005'!$F11</f>
        <v>1.784818536714329</v>
      </c>
      <c r="H15" s="14">
        <f>'2006'!$F11</f>
        <v>2.5443566360443048</v>
      </c>
      <c r="I15" s="14">
        <f>'2007'!$F11</f>
        <v>1.9969713970143494</v>
      </c>
      <c r="J15" s="14">
        <f>'2008'!$F11</f>
        <v>2.3537161699560714</v>
      </c>
      <c r="K15" s="14">
        <f>'2009'!$F11</f>
        <v>2.7563729387192151</v>
      </c>
      <c r="L15" s="14">
        <f>'2010'!$F11</f>
        <v>2.8199357831265881</v>
      </c>
      <c r="M15" s="14">
        <f>'2011'!$F11</f>
        <v>2.5639474553635826</v>
      </c>
      <c r="N15" s="14">
        <f>'2012'!$F11</f>
        <v>1.9301305101573634</v>
      </c>
      <c r="O15" s="14">
        <f>'2013'!$F11</f>
        <v>1.6333940159597706</v>
      </c>
      <c r="P15" s="14">
        <f>'2014'!$F11</f>
        <v>2.0150521451608241</v>
      </c>
      <c r="Q15" s="14">
        <f>'2015'!$F11</f>
        <v>1.8328376585606725</v>
      </c>
      <c r="R15" s="14">
        <f>'2016'!$F11</f>
        <v>1.9319788789186145</v>
      </c>
      <c r="S15" s="14">
        <f>'2017'!$F11</f>
        <v>2.6011706363554685</v>
      </c>
      <c r="T15" s="14">
        <f>'2018'!$F11</f>
        <v>2.6973834836381392</v>
      </c>
      <c r="U15" s="14">
        <f>'2019'!$F11</f>
        <v>2.5851637960857232</v>
      </c>
      <c r="V15" s="14">
        <f>'2020'!$F11</f>
        <v>2.2208769884163311</v>
      </c>
      <c r="W15" s="14">
        <f>'2021'!$F11</f>
        <v>2.4902192732130843</v>
      </c>
      <c r="X15" s="14">
        <f>'2022'!$F11</f>
        <v>2.1469239999532355</v>
      </c>
    </row>
    <row r="16" spans="1:24" ht="20.100000000000001" customHeight="1" thickBot="1" x14ac:dyDescent="0.25">
      <c r="B16" s="9" t="s">
        <v>33</v>
      </c>
      <c r="C16" s="14">
        <f>'2001'!$F12</f>
        <v>2.7120907481319207</v>
      </c>
      <c r="D16" s="14">
        <f>'2002'!$F12</f>
        <v>1.9835388235638556</v>
      </c>
      <c r="E16" s="14">
        <f>'2003'!$F12</f>
        <v>1.517751322283349</v>
      </c>
      <c r="F16" s="14">
        <f>'2004'!$F12</f>
        <v>2.4324356938820193</v>
      </c>
      <c r="G16" s="14">
        <f>'2005'!$F12</f>
        <v>2.4758498485256775</v>
      </c>
      <c r="H16" s="14">
        <f>'2006'!$F12</f>
        <v>3.0007077140835103</v>
      </c>
      <c r="I16" s="14">
        <f>'2007'!$F12</f>
        <v>2.2856860073643008</v>
      </c>
      <c r="J16" s="14">
        <f>'2008'!$F12</f>
        <v>3.5738090423659634</v>
      </c>
      <c r="K16" s="14">
        <f>'2009'!$F12</f>
        <v>4.6447680245928709</v>
      </c>
      <c r="L16" s="14">
        <f>'2010'!$F12</f>
        <v>3.9967795732934612</v>
      </c>
      <c r="M16" s="14">
        <f>'2011'!$F12</f>
        <v>5.1350347671306551</v>
      </c>
      <c r="N16" s="14">
        <f>'2012'!$F12</f>
        <v>3.4264909069479805</v>
      </c>
      <c r="O16" s="14">
        <f>'2013'!$F12</f>
        <v>3.5062181033533575</v>
      </c>
      <c r="P16" s="14">
        <f>'2014'!$F12</f>
        <v>6.567021240209324</v>
      </c>
      <c r="Q16" s="14">
        <f>'2015'!$F12</f>
        <v>4.519324425886075</v>
      </c>
      <c r="R16" s="14">
        <f>'2016'!$F12</f>
        <v>4.905600904164011</v>
      </c>
      <c r="S16" s="14">
        <f>'2017'!$F12</f>
        <v>3.6763873480200147</v>
      </c>
      <c r="T16" s="14">
        <f>'2018'!$F12</f>
        <v>3.0464939239292863</v>
      </c>
      <c r="U16" s="14">
        <f>'2019'!$F12</f>
        <v>3.2239613850059987</v>
      </c>
      <c r="V16" s="14">
        <f>'2020'!$F12</f>
        <v>2.5468957132750414</v>
      </c>
      <c r="W16" s="14">
        <f>'2021'!$F12</f>
        <v>2.6674246233902528</v>
      </c>
      <c r="X16" s="14">
        <f>'2022'!$F12</f>
        <v>2.9092966307366028</v>
      </c>
    </row>
    <row r="17" spans="2:24" ht="20.100000000000001" customHeight="1" thickBot="1" x14ac:dyDescent="0.25">
      <c r="B17" s="9" t="s">
        <v>34</v>
      </c>
      <c r="C17" s="14">
        <f>'2001'!$F13</f>
        <v>3.0956428999317849</v>
      </c>
      <c r="D17" s="14">
        <f>'2002'!$F13</f>
        <v>2.7444665250462554</v>
      </c>
      <c r="E17" s="14">
        <f>'2003'!$F13</f>
        <v>2.6735969561081667</v>
      </c>
      <c r="F17" s="14">
        <f>'2004'!$F13</f>
        <v>3.4639495784119902</v>
      </c>
      <c r="G17" s="14">
        <f>'2005'!$F13</f>
        <v>4.5539860713368912</v>
      </c>
      <c r="H17" s="14">
        <f>'2006'!$F13</f>
        <v>4.5540960367772234</v>
      </c>
      <c r="I17" s="14">
        <f>'2007'!$F13</f>
        <v>5.6832504525975658</v>
      </c>
      <c r="J17" s="14">
        <f>'2008'!$F13</f>
        <v>8.7328628869475349</v>
      </c>
      <c r="K17" s="14">
        <f>'2009'!$F13</f>
        <v>15.77979663436567</v>
      </c>
      <c r="L17" s="14">
        <f>'2010'!$F13</f>
        <v>7.0331997277471068</v>
      </c>
      <c r="M17" s="14">
        <f>'2011'!$F13</f>
        <v>4.5234269031128314</v>
      </c>
      <c r="N17" s="14">
        <f>'2012'!$F13</f>
        <v>3.3234436084164969</v>
      </c>
      <c r="O17" s="14">
        <f>'2013'!$F13</f>
        <v>3.1236680076038295</v>
      </c>
      <c r="P17" s="14">
        <f>'2014'!$F13</f>
        <v>3.6591578345737608</v>
      </c>
      <c r="Q17" s="14">
        <f>'2015'!$F13</f>
        <v>3.4543701799485862</v>
      </c>
      <c r="R17" s="14">
        <f>'2016'!$F13</f>
        <v>4.0508937882181622</v>
      </c>
      <c r="S17" s="14">
        <f>'2017'!$F13</f>
        <v>11.155205252102126</v>
      </c>
      <c r="T17" s="14">
        <f>'2018'!$F13</f>
        <v>6.1118746731211306</v>
      </c>
      <c r="U17" s="14">
        <f>'2019'!$F13</f>
        <v>5.7125794377301693</v>
      </c>
      <c r="V17" s="14">
        <f>'2020'!$F13</f>
        <v>6.7796610169491522</v>
      </c>
      <c r="W17" s="14">
        <f>'2021'!$F13</f>
        <v>7.1547181574577516</v>
      </c>
      <c r="X17" s="14">
        <f>'2022'!$F13</f>
        <v>3.7557024932109608</v>
      </c>
    </row>
    <row r="18" spans="2:24" ht="20.100000000000001" customHeight="1" thickBot="1" x14ac:dyDescent="0.25">
      <c r="B18" s="9" t="s">
        <v>35</v>
      </c>
      <c r="C18" s="14">
        <f>'2001'!$F14</f>
        <v>2.0124073655597496</v>
      </c>
      <c r="D18" s="14">
        <f>'2002'!$F14</f>
        <v>1.7849643984800334</v>
      </c>
      <c r="E18" s="14">
        <f>'2003'!$F14</f>
        <v>1.8179603321985416</v>
      </c>
      <c r="F18" s="14">
        <f>'2004'!$F14</f>
        <v>2.207195083449669</v>
      </c>
      <c r="G18" s="14">
        <f>'2005'!$F14</f>
        <v>2.6889335754457173</v>
      </c>
      <c r="H18" s="14">
        <f>'2006'!$F14</f>
        <v>3.2194380887290883</v>
      </c>
      <c r="I18" s="14">
        <f>'2007'!$F14</f>
        <v>3.5734819911765419</v>
      </c>
      <c r="J18" s="14">
        <f>'2008'!$F14</f>
        <v>3.3143913092586317</v>
      </c>
      <c r="K18" s="14">
        <f>'2009'!$F14</f>
        <v>2.8103113548557115</v>
      </c>
      <c r="L18" s="14">
        <f>'2010'!$F14</f>
        <v>3.0110454183693136</v>
      </c>
      <c r="M18" s="14">
        <f>'2011'!$F14</f>
        <v>3.36018833328556</v>
      </c>
      <c r="N18" s="14">
        <f>'2012'!$F14</f>
        <v>2.6490680923739509</v>
      </c>
      <c r="O18" s="14">
        <f>'2013'!$F14</f>
        <v>2.2140774131337388</v>
      </c>
      <c r="P18" s="14">
        <f>'2014'!$F14</f>
        <v>2.2980797848093157</v>
      </c>
      <c r="Q18" s="14">
        <f>'2015'!$F14</f>
        <v>2.4828082178098203</v>
      </c>
      <c r="R18" s="14">
        <f>'2016'!$F14</f>
        <v>2.2472492058376687</v>
      </c>
      <c r="S18" s="14">
        <f>'2017'!$F14</f>
        <v>2.6802968230656257</v>
      </c>
      <c r="T18" s="14">
        <f>'2018'!$F14</f>
        <v>2.9983155749024553</v>
      </c>
      <c r="U18" s="14">
        <f>'2019'!$F14</f>
        <v>3.6224090731325771</v>
      </c>
      <c r="V18" s="14">
        <f>'2020'!$F14</f>
        <v>3.4835647202939972</v>
      </c>
      <c r="W18" s="14">
        <f>'2021'!$F14</f>
        <v>2.524234229960308</v>
      </c>
      <c r="X18" s="14">
        <f>'2022'!$F14</f>
        <v>2.1180242579502506</v>
      </c>
    </row>
    <row r="19" spans="2:24" ht="20.100000000000001" customHeight="1" thickBot="1" x14ac:dyDescent="0.25">
      <c r="B19" s="9" t="s">
        <v>36</v>
      </c>
      <c r="C19" s="14">
        <f>'2001'!$F15</f>
        <v>1.7024132776031975</v>
      </c>
      <c r="D19" s="14">
        <f>'2002'!$F15</f>
        <v>1.2898303237292446</v>
      </c>
      <c r="E19" s="14">
        <f>'2003'!$F15</f>
        <v>1.4382402707275805</v>
      </c>
      <c r="F19" s="14">
        <f>'2004'!$F15</f>
        <v>1.6194283237411804</v>
      </c>
      <c r="G19" s="14">
        <f>'2005'!$F15</f>
        <v>1.6104698500886059</v>
      </c>
      <c r="H19" s="14">
        <f>'2006'!$F15</f>
        <v>2.2524401434887795</v>
      </c>
      <c r="I19" s="14">
        <f>'2007'!$F15</f>
        <v>3.10131761524686</v>
      </c>
      <c r="J19" s="14">
        <f>'2008'!$F15</f>
        <v>2.4677705671798154</v>
      </c>
      <c r="K19" s="14">
        <f>'2009'!$F15</f>
        <v>2.1901211556383968</v>
      </c>
      <c r="L19" s="14">
        <f>'2010'!$F15</f>
        <v>3.0367198771350119</v>
      </c>
      <c r="M19" s="14">
        <f>'2011'!$F15</f>
        <v>1.9513155456735223</v>
      </c>
      <c r="N19" s="14">
        <f>'2012'!$F15</f>
        <v>2.1428779960879338</v>
      </c>
      <c r="O19" s="14">
        <f>'2013'!$F15</f>
        <v>2.0376129127795055</v>
      </c>
      <c r="P19" s="14">
        <f>'2014'!$F15</f>
        <v>2.2213573631110979</v>
      </c>
      <c r="Q19" s="14">
        <f>'2015'!$F15</f>
        <v>2.1039866606033049</v>
      </c>
      <c r="R19" s="14">
        <f>'2016'!$F15</f>
        <v>1.3106563126869071</v>
      </c>
      <c r="S19" s="14">
        <f>'2017'!$F15</f>
        <v>1.6614810205351587</v>
      </c>
      <c r="T19" s="14">
        <f>'2018'!$F15</f>
        <v>2.2965589471160519</v>
      </c>
      <c r="U19" s="14">
        <f>'2019'!$F15</f>
        <v>2.1631565592489217</v>
      </c>
      <c r="V19" s="14">
        <f>'2020'!$F15</f>
        <v>1.5856504972599959</v>
      </c>
      <c r="W19" s="14">
        <f>'2021'!$F15</f>
        <v>1.7863793310230334</v>
      </c>
      <c r="X19" s="14">
        <f>'2022'!$F15</f>
        <v>1.8684391589498865</v>
      </c>
    </row>
    <row r="20" spans="2:24" ht="20.100000000000001" customHeight="1" thickBot="1" x14ac:dyDescent="0.25">
      <c r="B20" s="9" t="s">
        <v>37</v>
      </c>
      <c r="C20" s="14">
        <f>'2001'!$F16</f>
        <v>2.1347352130444666</v>
      </c>
      <c r="D20" s="14">
        <f>'2002'!$F16</f>
        <v>1.2990187203534056</v>
      </c>
      <c r="E20" s="14">
        <f>'2003'!$F16</f>
        <v>1.3541594409643787</v>
      </c>
      <c r="F20" s="14">
        <f>'2004'!$F16</f>
        <v>1.8150433200380782</v>
      </c>
      <c r="G20" s="14">
        <f>'2005'!$F16</f>
        <v>2.4281281515390312</v>
      </c>
      <c r="H20" s="14">
        <f>'2006'!$F16</f>
        <v>2.6682544537725286</v>
      </c>
      <c r="I20" s="14">
        <f>'2007'!$F16</f>
        <v>2.2108926257887358</v>
      </c>
      <c r="J20" s="14">
        <f>'2008'!$F16</f>
        <v>2.699760378024826</v>
      </c>
      <c r="K20" s="14">
        <f>'2009'!$F16</f>
        <v>2.6031647398214517</v>
      </c>
      <c r="L20" s="14">
        <f>'2010'!$F16</f>
        <v>2.7740172827055916</v>
      </c>
      <c r="M20" s="14">
        <f>'2011'!$F16</f>
        <v>2.9023476735824394</v>
      </c>
      <c r="N20" s="14">
        <f>'2012'!$F16</f>
        <v>2.306585864170601</v>
      </c>
      <c r="O20" s="14">
        <f>'2013'!$F16</f>
        <v>2.2501582029870457</v>
      </c>
      <c r="P20" s="14">
        <f>'2014'!$F16</f>
        <v>1.930733838064403</v>
      </c>
      <c r="Q20" s="14">
        <f>'2015'!$F16</f>
        <v>1.5945131274299944</v>
      </c>
      <c r="R20" s="14">
        <f>'2016'!$F16</f>
        <v>1.5552986129484456</v>
      </c>
      <c r="S20" s="14">
        <f>'2017'!$F16</f>
        <v>1.6282189314647793</v>
      </c>
      <c r="T20" s="14">
        <f>'2018'!$F16</f>
        <v>1.4577690515334665</v>
      </c>
      <c r="U20" s="14">
        <f>'2019'!$F16</f>
        <v>1.5529448793646881</v>
      </c>
      <c r="V20" s="14">
        <f>'2020'!$F16</f>
        <v>1.3196714360316424</v>
      </c>
      <c r="W20" s="14">
        <f>'2021'!$F16</f>
        <v>1.7120859535811257</v>
      </c>
      <c r="X20" s="14">
        <f>'2022'!$F16</f>
        <v>1.4105677647202823</v>
      </c>
    </row>
    <row r="21" spans="2:24" ht="20.100000000000001" customHeight="1" thickBot="1" x14ac:dyDescent="0.25">
      <c r="B21" s="9" t="s">
        <v>29</v>
      </c>
      <c r="C21" s="14">
        <f>'2001'!$F17</f>
        <v>1.0402594047303348</v>
      </c>
      <c r="D21" s="14">
        <f>'2002'!$F17</f>
        <v>1.1167238115179592</v>
      </c>
      <c r="E21" s="14">
        <f>'2003'!$F17</f>
        <v>0.883506920804213</v>
      </c>
      <c r="F21" s="14">
        <f>'2004'!$F17</f>
        <v>1.3308273432141942</v>
      </c>
      <c r="G21" s="14">
        <f>'2005'!$F17</f>
        <v>1.8247822518057104</v>
      </c>
      <c r="H21" s="14">
        <f>'2006'!$F17</f>
        <v>1.7691211932927231</v>
      </c>
      <c r="I21" s="14">
        <f>'2007'!$F17</f>
        <v>1.6445932178722165</v>
      </c>
      <c r="J21" s="14">
        <f>'2008'!$F17</f>
        <v>1.9080127213276115</v>
      </c>
      <c r="K21" s="14">
        <f>'2009'!$F17</f>
        <v>2.1434583440597539</v>
      </c>
      <c r="L21" s="14">
        <f>'2010'!$F17</f>
        <v>2.0858027085599282</v>
      </c>
      <c r="M21" s="14">
        <f>'2011'!$F17</f>
        <v>2.5082785770370331</v>
      </c>
      <c r="N21" s="14">
        <f>'2012'!$F17</f>
        <v>2.0626403046525983</v>
      </c>
      <c r="O21" s="14">
        <f>'2013'!$F17</f>
        <v>1.4329740553435628</v>
      </c>
      <c r="P21" s="14">
        <f>'2014'!$F17</f>
        <v>1.467227094854102</v>
      </c>
      <c r="Q21" s="14">
        <f>'2015'!$F17</f>
        <v>1.4386873811091021</v>
      </c>
      <c r="R21" s="14">
        <f>'2016'!$F17</f>
        <v>1.7665865862249597</v>
      </c>
      <c r="S21" s="14">
        <f>'2017'!$F17</f>
        <v>1.7419370447464559</v>
      </c>
      <c r="T21" s="14">
        <f>'2018'!$F17</f>
        <v>1.9496717181559524</v>
      </c>
      <c r="U21" s="14">
        <f>'2019'!$F17</f>
        <v>1.8600038278843978</v>
      </c>
      <c r="V21" s="14">
        <f>'2020'!$F17</f>
        <v>1.7643398492415558</v>
      </c>
      <c r="W21" s="14">
        <f>'2021'!$F17</f>
        <v>2.5566748052869204</v>
      </c>
      <c r="X21" s="14">
        <f>'2022'!$F17</f>
        <v>2.5507072415533401</v>
      </c>
    </row>
    <row r="22" spans="2:24" ht="20.100000000000001" customHeight="1" thickBot="1" x14ac:dyDescent="0.25">
      <c r="B22" s="9" t="s">
        <v>38</v>
      </c>
      <c r="C22" s="14">
        <f>'2001'!$F18</f>
        <v>1.5520523431057613</v>
      </c>
      <c r="D22" s="14">
        <f>'2002'!$F18</f>
        <v>1.3083666777616596</v>
      </c>
      <c r="E22" s="14">
        <f>'2003'!$F18</f>
        <v>1.0758676706514936</v>
      </c>
      <c r="F22" s="14">
        <f>'2004'!$F18</f>
        <v>1.7999622891096616</v>
      </c>
      <c r="G22" s="14">
        <f>'2005'!$F18</f>
        <v>1.8531083045656684</v>
      </c>
      <c r="H22" s="14">
        <f>'2006'!$F18</f>
        <v>1.9371289131510805</v>
      </c>
      <c r="I22" s="14">
        <f>'2007'!$F18</f>
        <v>1.9058556444213075</v>
      </c>
      <c r="J22" s="14">
        <f>'2008'!$F18</f>
        <v>2.0445136821240939</v>
      </c>
      <c r="K22" s="14">
        <f>'2009'!$F18</f>
        <v>2.2465645092370807</v>
      </c>
      <c r="L22" s="14">
        <f>'2010'!$F18</f>
        <v>2.1574456279246408</v>
      </c>
      <c r="M22" s="14">
        <f>'2011'!$F18</f>
        <v>2.0392110902698612</v>
      </c>
      <c r="N22" s="14">
        <f>'2012'!$F18</f>
        <v>1.6500211633540764</v>
      </c>
      <c r="O22" s="14">
        <f>'2013'!$F18</f>
        <v>1.601537649399694</v>
      </c>
      <c r="P22" s="14">
        <f>'2014'!$F18</f>
        <v>1.7500684313506829</v>
      </c>
      <c r="Q22" s="14">
        <f>'2015'!$F18</f>
        <v>1.3517569581902134</v>
      </c>
      <c r="R22" s="14">
        <f>'2016'!$F18</f>
        <v>1.4723924166648625</v>
      </c>
      <c r="S22" s="14">
        <f>'2017'!$F18</f>
        <v>1.4183908750964171</v>
      </c>
      <c r="T22" s="14">
        <f>'2018'!$F18</f>
        <v>1.4998172693805878</v>
      </c>
      <c r="U22" s="14">
        <f>'2019'!$F18</f>
        <v>1.5441571209440277</v>
      </c>
      <c r="V22" s="14">
        <f>'2020'!$F18</f>
        <v>1.269108448268117</v>
      </c>
      <c r="W22" s="14">
        <f>'2021'!$F18</f>
        <v>1.7876610093565226</v>
      </c>
      <c r="X22" s="14">
        <f>'2022'!$F18</f>
        <v>1.8434816693002118</v>
      </c>
    </row>
    <row r="23" spans="2:24" ht="20.100000000000001" customHeight="1" thickBot="1" x14ac:dyDescent="0.25">
      <c r="B23" s="9" t="s">
        <v>39</v>
      </c>
      <c r="C23" s="14">
        <f>'2001'!$F19</f>
        <v>1.4462094831787649</v>
      </c>
      <c r="D23" s="14">
        <f>'2002'!$F19</f>
        <v>1.397510596024153</v>
      </c>
      <c r="E23" s="14">
        <f>'2003'!$F19</f>
        <v>1.3834138560190854</v>
      </c>
      <c r="F23" s="14">
        <f>'2004'!$F19</f>
        <v>1.9022633844752357</v>
      </c>
      <c r="G23" s="14">
        <f>'2005'!$F19</f>
        <v>2.2654841086059352</v>
      </c>
      <c r="H23" s="14">
        <f>'2006'!$F19</f>
        <v>1.9730441289874308</v>
      </c>
      <c r="I23" s="14">
        <f>'2007'!$F19</f>
        <v>2.3356114159359485</v>
      </c>
      <c r="J23" s="14">
        <f>'2008'!$F19</f>
        <v>6.4583604103553576</v>
      </c>
      <c r="K23" s="14">
        <f>'2009'!$F19</f>
        <v>8.430080735135661</v>
      </c>
      <c r="L23" s="14">
        <f>'2010'!$F19</f>
        <v>6.0707760261553023</v>
      </c>
      <c r="M23" s="14">
        <f>'2011'!$F19</f>
        <v>2.5022236219600402</v>
      </c>
      <c r="N23" s="14">
        <f>'2012'!$F19</f>
        <v>1.7385464405117577</v>
      </c>
      <c r="O23" s="14">
        <f>'2013'!$F19</f>
        <v>1.8306070230628815</v>
      </c>
      <c r="P23" s="14">
        <f>'2014'!$F19</f>
        <v>2.2744931222626867</v>
      </c>
      <c r="Q23" s="14">
        <f>'2015'!$F19</f>
        <v>3.1624991839132992</v>
      </c>
      <c r="R23" s="14">
        <f>'2016'!$F19</f>
        <v>2.3919984384476494</v>
      </c>
      <c r="S23" s="14">
        <f>'2017'!$F19</f>
        <v>5.2721322439567295</v>
      </c>
      <c r="T23" s="14">
        <f>'2018'!$F19</f>
        <v>1.9093132735110836</v>
      </c>
      <c r="U23" s="14">
        <f>'2019'!$F19</f>
        <v>1.634493007857539</v>
      </c>
      <c r="V23" s="14">
        <f>'2020'!$F19</f>
        <v>1.3057994226538088</v>
      </c>
      <c r="W23" s="14">
        <f>'2021'!$F19</f>
        <v>1.7672528055138288</v>
      </c>
      <c r="X23" s="14">
        <f>'2022'!$F19</f>
        <v>1.6494359518129067</v>
      </c>
    </row>
    <row r="24" spans="2:24" ht="20.100000000000001" customHeight="1" thickBot="1" x14ac:dyDescent="0.25">
      <c r="B24" s="9" t="s">
        <v>40</v>
      </c>
      <c r="C24" s="14">
        <f>'2001'!$F20</f>
        <v>1.7695320316743375</v>
      </c>
      <c r="D24" s="14">
        <f>'2002'!$F20</f>
        <v>2.7925596005930999</v>
      </c>
      <c r="E24" s="14">
        <f>'2003'!$F20</f>
        <v>1.3654087076476964</v>
      </c>
      <c r="F24" s="14">
        <f>'2004'!$F20</f>
        <v>2.1462418323574712</v>
      </c>
      <c r="G24" s="14">
        <f>'2005'!$F20</f>
        <v>2.5455582916229247</v>
      </c>
      <c r="H24" s="14">
        <f>'2006'!$F20</f>
        <v>2.7701896810434379</v>
      </c>
      <c r="I24" s="14">
        <f>'2007'!$F20</f>
        <v>3.052146065819243</v>
      </c>
      <c r="J24" s="14">
        <f>'2008'!$F20</f>
        <v>3.4468731936029458</v>
      </c>
      <c r="K24" s="14">
        <f>'2009'!$F20</f>
        <v>4.0632330660901106</v>
      </c>
      <c r="L24" s="14">
        <f>'2010'!$F20</f>
        <v>4.2793189373202498</v>
      </c>
      <c r="M24" s="14">
        <f>'2011'!$F20</f>
        <v>3.4446316719773624</v>
      </c>
      <c r="N24" s="14">
        <f>'2012'!$F20</f>
        <v>2.7628876976824812</v>
      </c>
      <c r="O24" s="14">
        <f>'2013'!$F20</f>
        <v>2.9306555186829288</v>
      </c>
      <c r="P24" s="14">
        <f>'2014'!$F20</f>
        <v>4.1564458980648684</v>
      </c>
      <c r="Q24" s="14">
        <f>'2015'!$F20</f>
        <v>3.3021796583535257</v>
      </c>
      <c r="R24" s="14">
        <f>'2016'!$F20</f>
        <v>2.1883959611628971</v>
      </c>
      <c r="S24" s="14">
        <f>'2017'!$F20</f>
        <v>2.0325486988058779</v>
      </c>
      <c r="T24" s="14">
        <f>'2018'!$F20</f>
        <v>2.6521410367715013</v>
      </c>
      <c r="U24" s="14">
        <f>'2019'!$F20</f>
        <v>2.5044963272990102</v>
      </c>
      <c r="V24" s="14">
        <f>'2020'!$F20</f>
        <v>1.9516286872640851</v>
      </c>
      <c r="W24" s="14">
        <f>'2021'!$F20</f>
        <v>2.4631026105517408</v>
      </c>
      <c r="X24" s="14">
        <f>'2022'!$F20</f>
        <v>2.1710129053095728</v>
      </c>
    </row>
    <row r="25" spans="2:24" ht="20.100000000000001" customHeight="1" thickBot="1" x14ac:dyDescent="0.25">
      <c r="B25" s="9" t="s">
        <v>41</v>
      </c>
      <c r="C25" s="14">
        <f>'2001'!$F21</f>
        <v>1.642509715738274</v>
      </c>
      <c r="D25" s="14">
        <f>'2002'!$F21</f>
        <v>1.4333003446746067</v>
      </c>
      <c r="E25" s="14">
        <f>'2003'!$F21</f>
        <v>1.3535818795312129</v>
      </c>
      <c r="F25" s="14">
        <f>'2004'!$F21</f>
        <v>1.8619801161914484</v>
      </c>
      <c r="G25" s="14">
        <f>'2005'!$F21</f>
        <v>2.0553589606864122</v>
      </c>
      <c r="H25" s="14">
        <f>'2006'!$F21</f>
        <v>2.0489272194895118</v>
      </c>
      <c r="I25" s="14">
        <f>'2007'!$F21</f>
        <v>1.9609701334771865</v>
      </c>
      <c r="J25" s="14">
        <f>'2008'!$F21</f>
        <v>2.041222018046148</v>
      </c>
      <c r="K25" s="14">
        <f>'2009'!$F21</f>
        <v>2.1154018175532414</v>
      </c>
      <c r="L25" s="14">
        <f>'2010'!$F21</f>
        <v>2.7175287833999464</v>
      </c>
      <c r="M25" s="14">
        <f>'2011'!$F21</f>
        <v>1.8702791698560102</v>
      </c>
      <c r="N25" s="14">
        <f>'2012'!$F21</f>
        <v>1.8375375063165351</v>
      </c>
      <c r="O25" s="14">
        <f>'2013'!$F21</f>
        <v>1.8329169459508865</v>
      </c>
      <c r="P25" s="14">
        <f>'2014'!$F21</f>
        <v>1.8497539778274199</v>
      </c>
      <c r="Q25" s="14">
        <f>'2015'!$F21</f>
        <v>1.6540846290739832</v>
      </c>
      <c r="R25" s="14">
        <f>'2016'!$F21</f>
        <v>1.6201553268180298</v>
      </c>
      <c r="S25" s="14">
        <f>'2017'!$F21</f>
        <v>1.5998560129588337</v>
      </c>
      <c r="T25" s="14">
        <f>'2018'!$F21</f>
        <v>1.0744362362448201</v>
      </c>
      <c r="U25" s="14">
        <f>'2019'!$F21</f>
        <v>1.2533267707046285</v>
      </c>
      <c r="V25" s="14">
        <f>'2020'!$F21</f>
        <v>0.86257496491004215</v>
      </c>
      <c r="W25" s="14">
        <f>'2021'!$F21</f>
        <v>1.3399801826685627</v>
      </c>
      <c r="X25" s="14">
        <f>'2022'!$F21</f>
        <v>0.9318252994419316</v>
      </c>
    </row>
    <row r="26" spans="2:24" ht="20.100000000000001" customHeight="1" thickBot="1" x14ac:dyDescent="0.25">
      <c r="B26" s="9" t="s">
        <v>42</v>
      </c>
      <c r="C26" s="14">
        <f>'2001'!$F22</f>
        <v>2.3626724273564408</v>
      </c>
      <c r="D26" s="14">
        <f>'2002'!$F22</f>
        <v>1.6961885285060478</v>
      </c>
      <c r="E26" s="14">
        <f>'2003'!$F22</f>
        <v>1.5989976845682878</v>
      </c>
      <c r="F26" s="14">
        <f>'2004'!$F22</f>
        <v>2.6391863782599061</v>
      </c>
      <c r="G26" s="14">
        <f>'2005'!$F22</f>
        <v>3.1241081386870277</v>
      </c>
      <c r="H26" s="14">
        <f>'2006'!$F22</f>
        <v>4.870768854548591</v>
      </c>
      <c r="I26" s="14">
        <f>'2007'!$F22</f>
        <v>5.3903488900834313</v>
      </c>
      <c r="J26" s="14">
        <f>'2008'!$F22</f>
        <v>5.6576703835499034</v>
      </c>
      <c r="K26" s="14">
        <f>'2009'!$F22</f>
        <v>7.3980532978382803</v>
      </c>
      <c r="L26" s="14">
        <f>'2010'!$F22</f>
        <v>4.9679034945934424</v>
      </c>
      <c r="M26" s="14">
        <f>'2011'!$F22</f>
        <v>5.7120156587876822</v>
      </c>
      <c r="N26" s="14">
        <f>'2012'!$F22</f>
        <v>3.7159763693778491</v>
      </c>
      <c r="O26" s="14">
        <f>'2013'!$F22</f>
        <v>4.4223135878148589</v>
      </c>
      <c r="P26" s="14">
        <f>'2014'!$F22</f>
        <v>6.7151813252161991</v>
      </c>
      <c r="Q26" s="14">
        <f>'2015'!$F22</f>
        <v>5.4124700471827421</v>
      </c>
      <c r="R26" s="14">
        <f>'2016'!$F22</f>
        <v>6.0642525258309412</v>
      </c>
      <c r="S26" s="14">
        <f>'2017'!$F22</f>
        <v>5.4613594097310463</v>
      </c>
      <c r="T26" s="14">
        <f>'2018'!$F22</f>
        <v>7.2365372475002303</v>
      </c>
      <c r="U26" s="14">
        <f>'2019'!$F22</f>
        <v>14.015183585922728</v>
      </c>
      <c r="V26" s="14">
        <f>'2020'!$F22</f>
        <v>4.7136407006476428</v>
      </c>
      <c r="W26" s="14">
        <f>'2021'!$F22</f>
        <v>4.8268002183055634</v>
      </c>
      <c r="X26" s="14">
        <f>'2022'!$F22</f>
        <v>4.4399499181354134</v>
      </c>
    </row>
    <row r="27" spans="2:24" ht="20.100000000000001" customHeight="1" thickBot="1" x14ac:dyDescent="0.25">
      <c r="B27" s="9" t="s">
        <v>5</v>
      </c>
      <c r="C27" s="14">
        <f>'2001'!$F23</f>
        <v>2.1409731290201375</v>
      </c>
      <c r="D27" s="14">
        <f>'2002'!$F23</f>
        <v>2.1428242128071551</v>
      </c>
      <c r="E27" s="14">
        <f>'2003'!$F23</f>
        <v>1.7628117666321017</v>
      </c>
      <c r="F27" s="14">
        <f>'2004'!$F23</f>
        <v>2.5811847493799389</v>
      </c>
      <c r="G27" s="14">
        <f>'2005'!$F23</f>
        <v>2.9734540973023726</v>
      </c>
      <c r="H27" s="14">
        <f>'2006'!$F23</f>
        <v>2.6809085164172641</v>
      </c>
      <c r="I27" s="14">
        <f>'2007'!$F23</f>
        <v>3.2296132843595937</v>
      </c>
      <c r="J27" s="14">
        <f>'2008'!$F23</f>
        <v>3.3050582507927673</v>
      </c>
      <c r="K27" s="14">
        <f>'2009'!$F23</f>
        <v>4.2071499486622486</v>
      </c>
      <c r="L27" s="14">
        <f>'2010'!$F23</f>
        <v>3.4124102997045167</v>
      </c>
      <c r="M27" s="14">
        <f>'2011'!$F23</f>
        <v>3.9907539945474864</v>
      </c>
      <c r="N27" s="14">
        <f>'2012'!$F23</f>
        <v>2.4702750306889998</v>
      </c>
      <c r="O27" s="14">
        <f>'2013'!$F23</f>
        <v>2.0122050117589811</v>
      </c>
      <c r="P27" s="14">
        <f>'2014'!$F23</f>
        <v>2.0929031556630697</v>
      </c>
      <c r="Q27" s="14">
        <f>'2015'!$F23</f>
        <v>2.1002120718617725</v>
      </c>
      <c r="R27" s="14">
        <f>'2016'!$F23</f>
        <v>1.8928008299467887</v>
      </c>
      <c r="S27" s="14">
        <f>'2017'!$F23</f>
        <v>1.9266062950740572</v>
      </c>
      <c r="T27" s="14">
        <f>'2018'!$F23</f>
        <v>2.0595316676691442</v>
      </c>
      <c r="U27" s="14">
        <f>'2019'!$F23</f>
        <v>2.0823366226220923</v>
      </c>
      <c r="V27" s="14">
        <f>'2020'!$F23</f>
        <v>1.8407802300546401</v>
      </c>
      <c r="W27" s="14">
        <f>'2021'!$F23</f>
        <v>2.360964026093785</v>
      </c>
      <c r="X27" s="14">
        <f>'2022'!$F23</f>
        <v>2.1539519629362864</v>
      </c>
    </row>
    <row r="28" spans="2:24" ht="20.100000000000001" customHeight="1" thickBot="1" x14ac:dyDescent="0.25">
      <c r="B28" s="9" t="s">
        <v>43</v>
      </c>
      <c r="C28" s="14">
        <f>'2001'!$F24</f>
        <v>1.4592732901459891</v>
      </c>
      <c r="D28" s="14">
        <f>'2002'!$F24</f>
        <v>1.5242290573122097</v>
      </c>
      <c r="E28" s="14">
        <f>'2003'!$F24</f>
        <v>1.2909101785083716</v>
      </c>
      <c r="F28" s="14">
        <f>'2004'!$F24</f>
        <v>1.5758184869487717</v>
      </c>
      <c r="G28" s="14">
        <f>'2005'!$F24</f>
        <v>1.8935211765225455</v>
      </c>
      <c r="H28" s="14">
        <f>'2006'!$F24</f>
        <v>2.2563201080461126</v>
      </c>
      <c r="I28" s="14">
        <f>'2007'!$F24</f>
        <v>2.4403347741600117</v>
      </c>
      <c r="J28" s="14">
        <f>'2008'!$F24</f>
        <v>2.6306279048267398</v>
      </c>
      <c r="K28" s="14">
        <f>'2009'!$F24</f>
        <v>4.0079627960106325</v>
      </c>
      <c r="L28" s="14">
        <f>'2010'!$F24</f>
        <v>3.4057397802983416</v>
      </c>
      <c r="M28" s="14">
        <f>'2011'!$F24</f>
        <v>2.860953364309069</v>
      </c>
      <c r="N28" s="14">
        <f>'2012'!$F24</f>
        <v>2.4232339338763142</v>
      </c>
      <c r="O28" s="14">
        <f>'2013'!$F24</f>
        <v>2.01762010573393</v>
      </c>
      <c r="P28" s="14">
        <f>'2014'!$F24</f>
        <v>2.022100124594048</v>
      </c>
      <c r="Q28" s="14">
        <f>'2015'!$F24</f>
        <v>2.2410089176699688</v>
      </c>
      <c r="R28" s="14">
        <f>'2016'!$F24</f>
        <v>2.4687308479140948</v>
      </c>
      <c r="S28" s="14">
        <f>'2017'!$F24</f>
        <v>3.4875840617234606</v>
      </c>
      <c r="T28" s="14">
        <f>'2018'!$F24</f>
        <v>3.5222864353837244</v>
      </c>
      <c r="U28" s="14">
        <f>'2019'!$F24</f>
        <v>3.1881399126149645</v>
      </c>
      <c r="V28" s="14">
        <f>'2020'!$F24</f>
        <v>2.050923000734302</v>
      </c>
      <c r="W28" s="14">
        <f>'2021'!$F24</f>
        <v>1.9418666448632518</v>
      </c>
      <c r="X28" s="14">
        <f>'2022'!$F24</f>
        <v>2.1701211452243707</v>
      </c>
    </row>
    <row r="29" spans="2:24" ht="20.100000000000001" customHeight="1" thickBot="1" x14ac:dyDescent="0.25">
      <c r="B29" s="9" t="s">
        <v>44</v>
      </c>
      <c r="C29" s="14">
        <f>'2001'!$F25</f>
        <v>1.2892279467843479</v>
      </c>
      <c r="D29" s="14">
        <f>'2002'!$F25</f>
        <v>0.98072007564964958</v>
      </c>
      <c r="E29" s="14">
        <f>'2003'!$F25</f>
        <v>1.0826993663748026</v>
      </c>
      <c r="F29" s="14">
        <f>'2004'!$F25</f>
        <v>1.446499795096102</v>
      </c>
      <c r="G29" s="14">
        <f>'2005'!$F25</f>
        <v>1.6318041834979802</v>
      </c>
      <c r="H29" s="14">
        <f>'2006'!$F25</f>
        <v>1.1778307396066794</v>
      </c>
      <c r="I29" s="14">
        <f>'2007'!$F25</f>
        <v>1.2859668863526765</v>
      </c>
      <c r="J29" s="14">
        <f>'2008'!$F25</f>
        <v>1.6062242626013941</v>
      </c>
      <c r="K29" s="14">
        <f>'2009'!$F25</f>
        <v>1.7049991181039046</v>
      </c>
      <c r="L29" s="14">
        <f>'2010'!$F25</f>
        <v>2.0285086683803848</v>
      </c>
      <c r="M29" s="14">
        <f>'2011'!$F25</f>
        <v>2.3143301739991515</v>
      </c>
      <c r="N29" s="14">
        <f>'2012'!$F25</f>
        <v>1.8481848184818481</v>
      </c>
      <c r="O29" s="14">
        <f>'2013'!$F25</f>
        <v>1.727744103382721</v>
      </c>
      <c r="P29" s="14">
        <f>'2014'!$F25</f>
        <v>1.6493043861489225</v>
      </c>
      <c r="Q29" s="14">
        <f>'2015'!$F25</f>
        <v>1.2516716532382868</v>
      </c>
      <c r="R29" s="14">
        <f>'2016'!$F25</f>
        <v>1.5762850965104718</v>
      </c>
      <c r="S29" s="14">
        <f>'2017'!$F25</f>
        <v>1.5878132349605434</v>
      </c>
      <c r="T29" s="14">
        <f>'2018'!$F25</f>
        <v>1.7571628932077741</v>
      </c>
      <c r="U29" s="14">
        <f>'2019'!$F25</f>
        <v>2.1845203636429651</v>
      </c>
      <c r="V29" s="14">
        <f>'2020'!$F25</f>
        <v>1.6180347241159894</v>
      </c>
      <c r="W29" s="14">
        <f>'2021'!$F25</f>
        <v>1.703238589417996</v>
      </c>
      <c r="X29" s="14">
        <f>'2022'!$F25</f>
        <v>1.9224874185683458</v>
      </c>
    </row>
    <row r="30" spans="2:24" ht="20.100000000000001" customHeight="1" thickBot="1" x14ac:dyDescent="0.25">
      <c r="B30" s="9" t="s">
        <v>45</v>
      </c>
      <c r="C30" s="14">
        <f>'2001'!$F26</f>
        <v>2.8897190190027611</v>
      </c>
      <c r="D30" s="14">
        <f>'2002'!$F26</f>
        <v>2.7543958160156965</v>
      </c>
      <c r="E30" s="14">
        <f>'2003'!$F26</f>
        <v>2.3906364376810694</v>
      </c>
      <c r="F30" s="14">
        <f>'2004'!$F26</f>
        <v>3.1338556426071014</v>
      </c>
      <c r="G30" s="14">
        <f>'2005'!$F26</f>
        <v>3.3721072546839781</v>
      </c>
      <c r="H30" s="14">
        <f>'2006'!$F26</f>
        <v>4.186292555883834</v>
      </c>
      <c r="I30" s="14">
        <f>'2007'!$F26</f>
        <v>3.8185669454746511</v>
      </c>
      <c r="J30" s="14">
        <f>'2008'!$F26</f>
        <v>2.9167949806089468</v>
      </c>
      <c r="K30" s="14">
        <f>'2009'!$F26</f>
        <v>5.3059833482172838</v>
      </c>
      <c r="L30" s="14">
        <f>'2010'!$F26</f>
        <v>4.3286118135703529</v>
      </c>
      <c r="M30" s="14">
        <f>'2011'!$F26</f>
        <v>4.3320340953792051</v>
      </c>
      <c r="N30" s="14">
        <f>'2012'!$F26</f>
        <v>3.5363667777918653</v>
      </c>
      <c r="O30" s="14">
        <f>'2013'!$F26</f>
        <v>4.6571504769310916</v>
      </c>
      <c r="P30" s="14">
        <f>'2014'!$F26</f>
        <v>5.766810690991516</v>
      </c>
      <c r="Q30" s="14">
        <f>'2015'!$F26</f>
        <v>5.2965582426587874</v>
      </c>
      <c r="R30" s="14">
        <f>'2016'!$F26</f>
        <v>4.1093467742954237</v>
      </c>
      <c r="S30" s="14">
        <f>'2017'!$F26</f>
        <v>3.3543976991166162</v>
      </c>
      <c r="T30" s="14">
        <f>'2018'!$F26</f>
        <v>2.2222505221333608</v>
      </c>
      <c r="U30" s="14">
        <f>'2019'!$F26</f>
        <v>2.0166568962896836</v>
      </c>
      <c r="V30" s="14">
        <f>'2020'!$F26</f>
        <v>1.7070808022511967</v>
      </c>
      <c r="W30" s="14">
        <f>'2021'!$F26</f>
        <v>1.8962678410739597</v>
      </c>
      <c r="X30" s="14">
        <f>'2022'!$F26</f>
        <v>1.57056806932127</v>
      </c>
    </row>
    <row r="31" spans="2:24" ht="20.100000000000001" customHeight="1" thickBot="1" x14ac:dyDescent="0.25">
      <c r="B31" s="9" t="s">
        <v>46</v>
      </c>
      <c r="C31" s="14">
        <f>'2001'!$F27</f>
        <v>1.9647978974767191</v>
      </c>
      <c r="D31" s="14">
        <f>'2002'!$F27</f>
        <v>2.1036329263971307</v>
      </c>
      <c r="E31" s="14">
        <f>'2003'!$F27</f>
        <v>1.9842721450659966</v>
      </c>
      <c r="F31" s="14">
        <f>'2004'!$F27</f>
        <v>2.7832672221905139</v>
      </c>
      <c r="G31" s="14">
        <f>'2005'!$F27</f>
        <v>2.7123289373368586</v>
      </c>
      <c r="H31" s="14">
        <f>'2006'!$F27</f>
        <v>3.1563817096359092</v>
      </c>
      <c r="I31" s="14">
        <f>'2007'!$F27</f>
        <v>3.4163376860006074</v>
      </c>
      <c r="J31" s="14">
        <f>'2008'!$F27</f>
        <v>3.199835662761024</v>
      </c>
      <c r="K31" s="14">
        <f>'2009'!$F27</f>
        <v>3.6360049166817987</v>
      </c>
      <c r="L31" s="14">
        <f>'2010'!$F27</f>
        <v>3.6634573617175685</v>
      </c>
      <c r="M31" s="14">
        <f>'2011'!$F27</f>
        <v>3.4843661190943611</v>
      </c>
      <c r="N31" s="14">
        <f>'2012'!$F27</f>
        <v>2.529917100193984</v>
      </c>
      <c r="O31" s="14">
        <f>'2013'!$F27</f>
        <v>2.5664207436382025</v>
      </c>
      <c r="P31" s="14">
        <f>'2014'!$F27</f>
        <v>3.2205237765231938</v>
      </c>
      <c r="Q31" s="14">
        <f>'2015'!$F27</f>
        <v>2.3598380405892141</v>
      </c>
      <c r="R31" s="14">
        <f>'2016'!$F27</f>
        <v>2.6718940789936578</v>
      </c>
      <c r="S31" s="14">
        <f>'2017'!$F27</f>
        <v>2.149435773109559</v>
      </c>
      <c r="T31" s="14">
        <f>'2018'!$F27</f>
        <v>2.0985374560794603</v>
      </c>
      <c r="U31" s="14">
        <f>'2019'!$F27</f>
        <v>2.1579212501652383</v>
      </c>
      <c r="V31" s="14">
        <f>'2020'!$F27</f>
        <v>2.0386605634618897</v>
      </c>
      <c r="W31" s="14">
        <f>'2021'!$F27</f>
        <v>2.1202820376847771</v>
      </c>
      <c r="X31" s="14">
        <f>'2022'!$F27</f>
        <v>2.1952730655439439</v>
      </c>
    </row>
    <row r="32" spans="2:24" ht="20.100000000000001" customHeight="1" thickBot="1" x14ac:dyDescent="0.25">
      <c r="B32" s="9" t="s">
        <v>47</v>
      </c>
      <c r="C32" s="14">
        <f>'2001'!$F28</f>
        <v>1.5779601639490686</v>
      </c>
      <c r="D32" s="14">
        <f>'2002'!$F28</f>
        <v>1.7756703403533485</v>
      </c>
      <c r="E32" s="14">
        <f>'2003'!$F28</f>
        <v>1.6208333743878767</v>
      </c>
      <c r="F32" s="14">
        <f>'2004'!$F28</f>
        <v>1.8626616995688012</v>
      </c>
      <c r="G32" s="14">
        <f>'2005'!$F28</f>
        <v>2.130073951551636</v>
      </c>
      <c r="H32" s="14">
        <f>'2006'!$F28</f>
        <v>2.9000651915481077</v>
      </c>
      <c r="I32" s="14">
        <f>'2007'!$F28</f>
        <v>2.9520993494973387</v>
      </c>
      <c r="J32" s="14">
        <f>'2008'!$F28</f>
        <v>2.8103718981391159</v>
      </c>
      <c r="K32" s="14">
        <f>'2009'!$F28</f>
        <v>3.1238067196348966</v>
      </c>
      <c r="L32" s="14">
        <f>'2010'!$F28</f>
        <v>2.930423120027926</v>
      </c>
      <c r="M32" s="14">
        <f>'2011'!$F28</f>
        <v>2.9798574414296013</v>
      </c>
      <c r="N32" s="14">
        <f>'2012'!$F28</f>
        <v>2.3482360711075234</v>
      </c>
      <c r="O32" s="14">
        <f>'2013'!$F28</f>
        <v>2.3124224276660108</v>
      </c>
      <c r="P32" s="14">
        <f>'2014'!$F28</f>
        <v>2.5693061909192139</v>
      </c>
      <c r="Q32" s="14">
        <f>'2015'!$F28</f>
        <v>2.2321319067312264</v>
      </c>
      <c r="R32" s="14">
        <f>'2016'!$F28</f>
        <v>2.6706984100143734</v>
      </c>
      <c r="S32" s="14">
        <f>'2017'!$F28</f>
        <v>3.0747088839460943</v>
      </c>
      <c r="T32" s="14">
        <f>'2018'!$F28</f>
        <v>2.1549320055571894</v>
      </c>
      <c r="U32" s="14">
        <f>'2019'!$F28</f>
        <v>2.5823999511024862</v>
      </c>
      <c r="V32" s="14">
        <f>'2020'!$F28</f>
        <v>2.7123621513314538</v>
      </c>
      <c r="W32" s="14">
        <f>'2021'!$F28</f>
        <v>2.1686204709588988</v>
      </c>
      <c r="X32" s="14">
        <f>'2022'!$F28</f>
        <v>2.3220605986210847</v>
      </c>
    </row>
    <row r="33" spans="2:24" ht="20.100000000000001" customHeight="1" thickBot="1" x14ac:dyDescent="0.25">
      <c r="B33" s="9" t="s">
        <v>48</v>
      </c>
      <c r="C33" s="14">
        <f>'2001'!$F29</f>
        <v>0.99254634456209578</v>
      </c>
      <c r="D33" s="14">
        <f>'2002'!$F29</f>
        <v>2.1652182566899865</v>
      </c>
      <c r="E33" s="14">
        <f>'2003'!$F29</f>
        <v>1.5801102624841989</v>
      </c>
      <c r="F33" s="14">
        <f>'2004'!$F29</f>
        <v>2.7276464759334611</v>
      </c>
      <c r="G33" s="14">
        <f>'2005'!$F29</f>
        <v>3.3355865224625627</v>
      </c>
      <c r="H33" s="14">
        <f>'2006'!$F29</f>
        <v>2.8375526881942332</v>
      </c>
      <c r="I33" s="14">
        <f>'2007'!$F29</f>
        <v>3.5857284945550996</v>
      </c>
      <c r="J33" s="14">
        <f>'2008'!$F29</f>
        <v>4.7497691783251534</v>
      </c>
      <c r="K33" s="14">
        <f>'2009'!$F29</f>
        <v>8.0046695984694107</v>
      </c>
      <c r="L33" s="14">
        <f>'2010'!$F29</f>
        <v>8.0113124312266919</v>
      </c>
      <c r="M33" s="14">
        <f>'2011'!$F29</f>
        <v>4.2279987472596305</v>
      </c>
      <c r="N33" s="14">
        <f>'2012'!$F29</f>
        <v>3.7608263391893</v>
      </c>
      <c r="O33" s="14">
        <f>'2013'!$F29</f>
        <v>3.2474431697445296</v>
      </c>
      <c r="P33" s="14">
        <f>'2014'!$F29</f>
        <v>3.4635894878169813</v>
      </c>
      <c r="Q33" s="14">
        <f>'2015'!$F29</f>
        <v>3.7964417862030513</v>
      </c>
      <c r="R33" s="14">
        <f>'2016'!$F29</f>
        <v>3.8279293477983667</v>
      </c>
      <c r="S33" s="14">
        <f>'2017'!$F29</f>
        <v>6.8994338926036836</v>
      </c>
      <c r="T33" s="14">
        <f>'2018'!$F29</f>
        <v>5.1365018287695543</v>
      </c>
      <c r="U33" s="14">
        <f>'2019'!$F29</f>
        <v>5.4461095353288664</v>
      </c>
      <c r="V33" s="14">
        <f>'2020'!$F29</f>
        <v>3.9251036649754036</v>
      </c>
      <c r="W33" s="14">
        <f>'2021'!$F29</f>
        <v>4.613625072451768</v>
      </c>
      <c r="X33" s="14">
        <f>'2022'!$F29</f>
        <v>5.5632607435621431</v>
      </c>
    </row>
    <row r="34" spans="2:24" ht="20.100000000000001" customHeight="1" thickBot="1" x14ac:dyDescent="0.25">
      <c r="B34" s="9" t="s">
        <v>49</v>
      </c>
      <c r="C34" s="14">
        <f>'2001'!$F30</f>
        <v>1.3766928318813076</v>
      </c>
      <c r="D34" s="14">
        <f>'2002'!$F30</f>
        <v>1.4562489968434007</v>
      </c>
      <c r="E34" s="14">
        <f>'2003'!$F30</f>
        <v>1.1441167547749527</v>
      </c>
      <c r="F34" s="14">
        <f>'2004'!$F30</f>
        <v>2.0701102486961607</v>
      </c>
      <c r="G34" s="14">
        <f>'2005'!$F30</f>
        <v>2.118867248753209</v>
      </c>
      <c r="H34" s="14">
        <f>'2006'!$F30</f>
        <v>2.1066996832675957</v>
      </c>
      <c r="I34" s="14">
        <f>'2007'!$F30</f>
        <v>2.3874763695065742</v>
      </c>
      <c r="J34" s="14">
        <f>'2008'!$F30</f>
        <v>2.6261709825869288</v>
      </c>
      <c r="K34" s="14">
        <f>'2009'!$F30</f>
        <v>2.8029559417049357</v>
      </c>
      <c r="L34" s="14">
        <f>'2010'!$F30</f>
        <v>2.3252231603381466</v>
      </c>
      <c r="M34" s="14">
        <f>'2011'!$F30</f>
        <v>2.077139572680065</v>
      </c>
      <c r="N34" s="14">
        <f>'2012'!$F30</f>
        <v>1.9970405460940857</v>
      </c>
      <c r="O34" s="14">
        <f>'2013'!$F30</f>
        <v>1.951073484307382</v>
      </c>
      <c r="P34" s="14">
        <f>'2014'!$F30</f>
        <v>1.7919582731605646</v>
      </c>
      <c r="Q34" s="14">
        <f>'2015'!$F30</f>
        <v>1.7236479721241769</v>
      </c>
      <c r="R34" s="14">
        <f>'2016'!$F30</f>
        <v>1.613639500196397</v>
      </c>
      <c r="S34" s="14">
        <f>'2017'!$F30</f>
        <v>1.5455541499716825</v>
      </c>
      <c r="T34" s="14">
        <f>'2018'!$F30</f>
        <v>1.6457837618627016</v>
      </c>
      <c r="U34" s="14">
        <f>'2019'!$F30</f>
        <v>1.6172877293643424</v>
      </c>
      <c r="V34" s="14">
        <f>'2020'!$F30</f>
        <v>1.2317917389368984</v>
      </c>
      <c r="W34" s="14">
        <f>'2021'!$F30</f>
        <v>1.4314845231859812</v>
      </c>
      <c r="X34" s="14">
        <f>'2022'!$F30</f>
        <v>1.4963208559412964</v>
      </c>
    </row>
    <row r="35" spans="2:24" ht="20.100000000000001" customHeight="1" thickBot="1" x14ac:dyDescent="0.25">
      <c r="B35" s="9" t="s">
        <v>50</v>
      </c>
      <c r="C35" s="14">
        <f>'2001'!$F31</f>
        <v>1.9787432765182977</v>
      </c>
      <c r="D35" s="14">
        <f>'2002'!$F31</f>
        <v>1.7363506598010401</v>
      </c>
      <c r="E35" s="14">
        <f>'2003'!$F31</f>
        <v>1.8004919654102671</v>
      </c>
      <c r="F35" s="14">
        <f>'2004'!$F31</f>
        <v>2.1789572608344909</v>
      </c>
      <c r="G35" s="14">
        <f>'2005'!$F31</f>
        <v>3.0131327985429168</v>
      </c>
      <c r="H35" s="14">
        <f>'2006'!$F31</f>
        <v>5.4474859162002502</v>
      </c>
      <c r="I35" s="14">
        <f>'2007'!$F31</f>
        <v>4.0662866941371956</v>
      </c>
      <c r="J35" s="14">
        <f>'2008'!$F31</f>
        <v>4.4872506158318721</v>
      </c>
      <c r="K35" s="14">
        <f>'2009'!$F31</f>
        <v>6.3090404968768867</v>
      </c>
      <c r="L35" s="14">
        <f>'2010'!$F31</f>
        <v>5.4461959410590888</v>
      </c>
      <c r="M35" s="14">
        <f>'2011'!$F31</f>
        <v>5.1982045319344543</v>
      </c>
      <c r="N35" s="14">
        <f>'2012'!$F31</f>
        <v>3.8627065166513534</v>
      </c>
      <c r="O35" s="14">
        <f>'2013'!$F31</f>
        <v>2.9206401695167838</v>
      </c>
      <c r="P35" s="14">
        <f>'2014'!$F31</f>
        <v>6.4407719790528084</v>
      </c>
      <c r="Q35" s="14">
        <f>'2015'!$F31</f>
        <v>5.4824119123904254</v>
      </c>
      <c r="R35" s="14">
        <f>'2016'!$F31</f>
        <v>4.0834964692721805</v>
      </c>
      <c r="S35" s="14">
        <f>'2017'!$F31</f>
        <v>2.5368644968223473</v>
      </c>
      <c r="T35" s="14">
        <f>'2018'!$F31</f>
        <v>5.810925636597867</v>
      </c>
      <c r="U35" s="14">
        <f>'2019'!$F31</f>
        <v>11.160211571722508</v>
      </c>
      <c r="V35" s="14">
        <f>'2020'!$F31</f>
        <v>4.5617340899596162</v>
      </c>
      <c r="W35" s="14">
        <f>'2021'!$F31</f>
        <v>4.1678515376550189</v>
      </c>
      <c r="X35" s="14">
        <f>'2022'!$F31</f>
        <v>3.4276237385194142</v>
      </c>
    </row>
    <row r="36" spans="2:24" ht="20.100000000000001" customHeight="1" thickBot="1" x14ac:dyDescent="0.25">
      <c r="B36" s="9" t="s">
        <v>51</v>
      </c>
      <c r="C36" s="14">
        <f>'2001'!$F32</f>
        <v>1.7780938833570412</v>
      </c>
      <c r="D36" s="14">
        <f>'2002'!$F32</f>
        <v>2.01956559650317</v>
      </c>
      <c r="E36" s="14">
        <f>'2003'!$F32</f>
        <v>1.9032317198097848</v>
      </c>
      <c r="F36" s="14">
        <f>'2004'!$F32</f>
        <v>2.4237673595890938</v>
      </c>
      <c r="G36" s="14">
        <f>'2005'!$F32</f>
        <v>2.4148780044861757</v>
      </c>
      <c r="H36" s="14">
        <f>'2006'!$F32</f>
        <v>2.7259314770145897</v>
      </c>
      <c r="I36" s="14">
        <f>'2007'!$F32</f>
        <v>2.6062585908352522</v>
      </c>
      <c r="J36" s="14">
        <f>'2008'!$F32</f>
        <v>3.5956549348786937</v>
      </c>
      <c r="K36" s="14">
        <f>'2009'!$F32</f>
        <v>3.4694151151122687</v>
      </c>
      <c r="L36" s="14">
        <f>'2010'!$F32</f>
        <v>4.9132821599360801</v>
      </c>
      <c r="M36" s="14">
        <f>'2011'!$F32</f>
        <v>5.0144076487263165</v>
      </c>
      <c r="N36" s="14">
        <f>'2012'!$F32</f>
        <v>2.6701395176795599</v>
      </c>
      <c r="O36" s="14">
        <f>'2013'!$F32</f>
        <v>2.4289644308036147</v>
      </c>
      <c r="P36" s="14">
        <f>'2014'!$F32</f>
        <v>3.3003687956590166</v>
      </c>
      <c r="Q36" s="14">
        <f>'2015'!$F32</f>
        <v>2.6016413992100471</v>
      </c>
      <c r="R36" s="14">
        <f>'2016'!$F32</f>
        <v>2.1551553689072374</v>
      </c>
      <c r="S36" s="14">
        <f>'2017'!$F32</f>
        <v>2.0093956022265211</v>
      </c>
      <c r="T36" s="14">
        <f>'2018'!$F32</f>
        <v>2.2531733173946553</v>
      </c>
      <c r="U36" s="14">
        <f>'2019'!$F32</f>
        <v>2.1453899333493687</v>
      </c>
      <c r="V36" s="14">
        <f>'2020'!$F32</f>
        <v>1.8588140995057159</v>
      </c>
      <c r="W36" s="14">
        <f>'2021'!$F32</f>
        <v>2.3005557480006629</v>
      </c>
      <c r="X36" s="14">
        <f>'2022'!$F32</f>
        <v>2.1537117640857271</v>
      </c>
    </row>
    <row r="37" spans="2:24" ht="20.100000000000001" customHeight="1" thickBot="1" x14ac:dyDescent="0.25">
      <c r="B37" s="9" t="s">
        <v>52</v>
      </c>
      <c r="C37" s="14">
        <f>'2001'!$F33</f>
        <v>2.486301518203279</v>
      </c>
      <c r="D37" s="14">
        <f>'2002'!$F33</f>
        <v>1.6389423014879532</v>
      </c>
      <c r="E37" s="14">
        <f>'2003'!$F33</f>
        <v>1.75893117943638</v>
      </c>
      <c r="F37" s="14">
        <f>'2004'!$F33</f>
        <v>2.1858290312498032</v>
      </c>
      <c r="G37" s="14">
        <f>'2005'!$F33</f>
        <v>2.5816879981479643</v>
      </c>
      <c r="H37" s="14">
        <f>'2006'!$F33</f>
        <v>5.0815362046755821</v>
      </c>
      <c r="I37" s="14">
        <f>'2007'!$F33</f>
        <v>4.6315738710915442</v>
      </c>
      <c r="J37" s="14">
        <f>'2008'!$F33</f>
        <v>4.8197040843448216</v>
      </c>
      <c r="K37" s="14">
        <f>'2009'!$F33</f>
        <v>6.334205292918039</v>
      </c>
      <c r="L37" s="14">
        <f>'2010'!$F33</f>
        <v>6.9950451763334307</v>
      </c>
      <c r="M37" s="14">
        <f>'2011'!$F33</f>
        <v>6.331805781197315</v>
      </c>
      <c r="N37" s="14">
        <f>'2012'!$F33</f>
        <v>3.2666363208647788</v>
      </c>
      <c r="O37" s="14">
        <f>'2013'!$F33</f>
        <v>3.8585048437776086</v>
      </c>
      <c r="P37" s="14">
        <f>'2014'!$F33</f>
        <v>6.9044679707797529</v>
      </c>
      <c r="Q37" s="14">
        <f>'2015'!$F33</f>
        <v>4.4960068613141493</v>
      </c>
      <c r="R37" s="14">
        <f>'2016'!$F33</f>
        <v>4.7921846973417814</v>
      </c>
      <c r="S37" s="14">
        <f>'2017'!$F33</f>
        <v>4.6962017998573984</v>
      </c>
      <c r="T37" s="14">
        <f>'2018'!$F33</f>
        <v>3.098482109198895</v>
      </c>
      <c r="U37" s="14">
        <f>'2019'!$F33</f>
        <v>2.6366719681146646</v>
      </c>
      <c r="V37" s="14">
        <f>'2020'!$F33</f>
        <v>2.0466241192649703</v>
      </c>
      <c r="W37" s="14">
        <f>'2021'!$F33</f>
        <v>2.9610048779560127</v>
      </c>
      <c r="X37" s="14">
        <f>'2022'!$F33</f>
        <v>3.1873116091549631</v>
      </c>
    </row>
    <row r="38" spans="2:24" ht="20.100000000000001" customHeight="1" thickBot="1" x14ac:dyDescent="0.25">
      <c r="B38" s="9" t="s">
        <v>53</v>
      </c>
      <c r="C38" s="14">
        <f>'2001'!$F34</f>
        <v>1.0730499380932728</v>
      </c>
      <c r="D38" s="14">
        <f>'2002'!$F34</f>
        <v>1.0288902820116479</v>
      </c>
      <c r="E38" s="14">
        <f>'2003'!$F34</f>
        <v>1.197429077175014</v>
      </c>
      <c r="F38" s="14">
        <f>'2004'!$F34</f>
        <v>1.7754731072188483</v>
      </c>
      <c r="G38" s="14">
        <f>'2005'!$F34</f>
        <v>1.8854463921728495</v>
      </c>
      <c r="H38" s="14">
        <f>'2006'!$F34</f>
        <v>2.6556831160015228</v>
      </c>
      <c r="I38" s="14">
        <f>'2007'!$F34</f>
        <v>2.2579927035487288</v>
      </c>
      <c r="J38" s="14">
        <f>'2008'!$F34</f>
        <v>2.6812150698492041</v>
      </c>
      <c r="K38" s="14">
        <f>'2009'!$F34</f>
        <v>2.8370160545337528</v>
      </c>
      <c r="L38" s="14">
        <f>'2010'!$F34</f>
        <v>2.5113096436040356</v>
      </c>
      <c r="M38" s="14">
        <f>'2011'!$F34</f>
        <v>2.636176930386537</v>
      </c>
      <c r="N38" s="14">
        <f>'2012'!$F34</f>
        <v>1.9946487177572065</v>
      </c>
      <c r="O38" s="14">
        <f>'2013'!$F34</f>
        <v>1.6259516014297768</v>
      </c>
      <c r="P38" s="14">
        <f>'2014'!$F34</f>
        <v>1.489491305372395</v>
      </c>
      <c r="Q38" s="14">
        <f>'2015'!$F34</f>
        <v>1.6598701712357959</v>
      </c>
      <c r="R38" s="14">
        <f>'2016'!$F34</f>
        <v>2.6325431180709158</v>
      </c>
      <c r="S38" s="14">
        <f>'2017'!$F34</f>
        <v>2.2439486213143258</v>
      </c>
      <c r="T38" s="14">
        <f>'2018'!$F34</f>
        <v>2.0880348309740366</v>
      </c>
      <c r="U38" s="14">
        <f>'2019'!$F34</f>
        <v>1.7236608742589392</v>
      </c>
      <c r="V38" s="14">
        <f>'2020'!$F34</f>
        <v>1.4145414864810251</v>
      </c>
      <c r="W38" s="14">
        <f>'2021'!$F34</f>
        <v>1.5071522848071917</v>
      </c>
      <c r="X38" s="14">
        <f>'2022'!$F34</f>
        <v>1.3956765240966005</v>
      </c>
    </row>
    <row r="39" spans="2:24" ht="20.100000000000001" customHeight="1" thickBot="1" x14ac:dyDescent="0.25">
      <c r="B39" s="9" t="s">
        <v>54</v>
      </c>
      <c r="C39" s="14">
        <f>'2001'!$F35</f>
        <v>1.6011620038372141</v>
      </c>
      <c r="D39" s="14">
        <f>'2002'!$F35</f>
        <v>1.3871146624816377</v>
      </c>
      <c r="E39" s="14">
        <f>'2003'!$F35</f>
        <v>1.2508345291720702</v>
      </c>
      <c r="F39" s="14">
        <f>'2004'!$F35</f>
        <v>1.8106585907728228</v>
      </c>
      <c r="G39" s="14">
        <f>'2005'!$F35</f>
        <v>2.0203427615995544</v>
      </c>
      <c r="H39" s="14">
        <f>'2006'!$F35</f>
        <v>3.0599727499468128</v>
      </c>
      <c r="I39" s="14">
        <f>'2007'!$F35</f>
        <v>2.8853299475586018</v>
      </c>
      <c r="J39" s="14">
        <f>'2008'!$F35</f>
        <v>2.8497028937519291</v>
      </c>
      <c r="K39" s="14">
        <f>'2009'!$F35</f>
        <v>3.1025020081160735</v>
      </c>
      <c r="L39" s="14">
        <f>'2010'!$F35</f>
        <v>4.0103703107366107</v>
      </c>
      <c r="M39" s="14">
        <f>'2011'!$F35</f>
        <v>4.3289591410677</v>
      </c>
      <c r="N39" s="14">
        <f>'2012'!$F35</f>
        <v>3.919479829673461</v>
      </c>
      <c r="O39" s="14">
        <f>'2013'!$F35</f>
        <v>4.7329286706892297</v>
      </c>
      <c r="P39" s="14">
        <f>'2014'!$F35</f>
        <v>4.6537882018047654</v>
      </c>
      <c r="Q39" s="14">
        <f>'2015'!$F35</f>
        <v>3.991317241695584</v>
      </c>
      <c r="R39" s="14">
        <f>'2016'!$F35</f>
        <v>7.0821442344774397</v>
      </c>
      <c r="S39" s="14">
        <f>'2017'!$F35</f>
        <v>4.4740817176495451</v>
      </c>
      <c r="T39" s="14">
        <f>'2018'!$F35</f>
        <v>3.2706523595868355</v>
      </c>
      <c r="U39" s="14">
        <f>'2019'!$F35</f>
        <v>2.4512125057610596</v>
      </c>
      <c r="V39" s="14">
        <f>'2020'!$F35</f>
        <v>1.9576135487130593</v>
      </c>
      <c r="W39" s="14">
        <f>'2021'!$F35</f>
        <v>2.445829812337569</v>
      </c>
      <c r="X39" s="14">
        <f>'2022'!$F35</f>
        <v>1.8527081107798276</v>
      </c>
    </row>
    <row r="40" spans="2:24" ht="20.100000000000001" customHeight="1" thickBot="1" x14ac:dyDescent="0.25">
      <c r="B40" s="9" t="s">
        <v>55</v>
      </c>
      <c r="C40" s="14">
        <f>'2001'!$F36</f>
        <v>1.5675142187352982</v>
      </c>
      <c r="D40" s="14">
        <f>'2002'!$F36</f>
        <v>2.3517330944015464</v>
      </c>
      <c r="E40" s="14">
        <f>'2003'!$F36</f>
        <v>1.4959737740877987</v>
      </c>
      <c r="F40" s="14">
        <f>'2004'!$F36</f>
        <v>1.9037181360610489</v>
      </c>
      <c r="G40" s="14">
        <f>'2005'!$F36</f>
        <v>2.1455852164338922</v>
      </c>
      <c r="H40" s="14">
        <f>'2006'!$F36</f>
        <v>2.2640464209801636</v>
      </c>
      <c r="I40" s="14">
        <f>'2007'!$F36</f>
        <v>2.6056169542026635</v>
      </c>
      <c r="J40" s="14">
        <f>'2008'!$F36</f>
        <v>2.9968012794882046</v>
      </c>
      <c r="K40" s="14">
        <f>'2009'!$F36</f>
        <v>3.2309079531118479</v>
      </c>
      <c r="L40" s="14">
        <f>'2010'!$F36</f>
        <v>3.3067352448706551</v>
      </c>
      <c r="M40" s="14">
        <f>'2011'!$F36</f>
        <v>3.4833336346597723</v>
      </c>
      <c r="N40" s="14">
        <f>'2012'!$F36</f>
        <v>2.5503032656420959</v>
      </c>
      <c r="O40" s="14">
        <f>'2013'!$F36</f>
        <v>2.1459840899067286</v>
      </c>
      <c r="P40" s="14">
        <f>'2014'!$F36</f>
        <v>2.2570941666288422</v>
      </c>
      <c r="Q40" s="14">
        <f>'2015'!$F36</f>
        <v>2.1360256156196873</v>
      </c>
      <c r="R40" s="14">
        <f>'2016'!$F36</f>
        <v>2.0396787189297387</v>
      </c>
      <c r="S40" s="14">
        <f>'2017'!$F36</f>
        <v>3.0406819327121002</v>
      </c>
      <c r="T40" s="14">
        <f>'2018'!$F36</f>
        <v>2.3116102349130774</v>
      </c>
      <c r="U40" s="14">
        <f>'2019'!$F36</f>
        <v>2.0369520935824053</v>
      </c>
      <c r="V40" s="14">
        <f>'2020'!$F36</f>
        <v>1.5642835077633594</v>
      </c>
      <c r="W40" s="14">
        <f>'2021'!$F36</f>
        <v>2.2470367894161245</v>
      </c>
      <c r="X40" s="14">
        <f>'2022'!$F36</f>
        <v>1.6603720118838359</v>
      </c>
    </row>
    <row r="41" spans="2:24" ht="20.100000000000001" customHeight="1" thickBot="1" x14ac:dyDescent="0.25">
      <c r="B41" s="9" t="s">
        <v>56</v>
      </c>
      <c r="C41" s="14">
        <f>'2001'!$F37</f>
        <v>1.2793714368683617</v>
      </c>
      <c r="D41" s="14">
        <f>'2002'!$F37</f>
        <v>1.134602686933204</v>
      </c>
      <c r="E41" s="14">
        <f>'2003'!$F37</f>
        <v>0.92681105500226402</v>
      </c>
      <c r="F41" s="14">
        <f>'2004'!$F37</f>
        <v>1.4827625606348613</v>
      </c>
      <c r="G41" s="14">
        <f>'2005'!$F37</f>
        <v>2.1730476993984063</v>
      </c>
      <c r="H41" s="14">
        <f>'2006'!$F37</f>
        <v>1.6343718711349315</v>
      </c>
      <c r="I41" s="14">
        <f>'2007'!$F37</f>
        <v>1.6907599966184801</v>
      </c>
      <c r="J41" s="14">
        <f>'2008'!$F37</f>
        <v>1.6866882812646413</v>
      </c>
      <c r="K41" s="14">
        <f>'2009'!$F37</f>
        <v>1.8835844015380316</v>
      </c>
      <c r="L41" s="14">
        <f>'2010'!$F37</f>
        <v>1.9032762729439159</v>
      </c>
      <c r="M41" s="14">
        <f>'2011'!$F37</f>
        <v>1.7046944662995016</v>
      </c>
      <c r="N41" s="14">
        <f>'2012'!$F37</f>
        <v>1.4829628559562289</v>
      </c>
      <c r="O41" s="14">
        <f>'2013'!$F37</f>
        <v>1.6692559790435799</v>
      </c>
      <c r="P41" s="14">
        <f>'2014'!$F37</f>
        <v>1.6872107597927859</v>
      </c>
      <c r="Q41" s="14">
        <f>'2015'!$F37</f>
        <v>1.3026656483857726</v>
      </c>
      <c r="R41" s="14">
        <f>'2016'!$F37</f>
        <v>1.2855928356998532</v>
      </c>
      <c r="S41" s="14">
        <f>'2017'!$F37</f>
        <v>1.3460257548845471</v>
      </c>
      <c r="T41" s="14">
        <f>'2018'!$F37</f>
        <v>1.2451890423364274</v>
      </c>
      <c r="U41" s="14">
        <f>'2019'!$F37</f>
        <v>1.3450440300738049</v>
      </c>
      <c r="V41" s="14">
        <f>'2020'!$F37</f>
        <v>1.1789736771892536</v>
      </c>
      <c r="W41" s="14">
        <f>'2021'!$F37</f>
        <v>1.4713674620844297</v>
      </c>
      <c r="X41" s="14">
        <f>'2022'!$F37</f>
        <v>1.200745007697958</v>
      </c>
    </row>
    <row r="42" spans="2:24" ht="20.100000000000001" customHeight="1" thickBot="1" x14ac:dyDescent="0.25">
      <c r="B42" s="9" t="s">
        <v>57</v>
      </c>
      <c r="C42" s="14">
        <f>'2001'!$F38</f>
        <v>1.4830072090628219</v>
      </c>
      <c r="D42" s="14">
        <f>'2002'!$F38</f>
        <v>1.5921190108960646</v>
      </c>
      <c r="E42" s="14">
        <f>'2003'!$F38</f>
        <v>1.2093910882300727</v>
      </c>
      <c r="F42" s="14">
        <f>'2004'!$F38</f>
        <v>1.6906029259147668</v>
      </c>
      <c r="G42" s="14">
        <f>'2005'!$F38</f>
        <v>1.8566934638238377</v>
      </c>
      <c r="H42" s="14">
        <f>'2006'!$F38</f>
        <v>2.6051963712334723</v>
      </c>
      <c r="I42" s="14">
        <f>'2007'!$F38</f>
        <v>2.9703583575466812</v>
      </c>
      <c r="J42" s="14">
        <f>'2008'!$F38</f>
        <v>3.0544313160773902</v>
      </c>
      <c r="K42" s="14">
        <f>'2009'!$F38</f>
        <v>2.5873111952589425</v>
      </c>
      <c r="L42" s="14">
        <f>'2010'!$F38</f>
        <v>2.543111251923599</v>
      </c>
      <c r="M42" s="14">
        <f>'2011'!$F38</f>
        <v>3.2002958495718712</v>
      </c>
      <c r="N42" s="14">
        <f>'2012'!$F38</f>
        <v>2.3903560312064709</v>
      </c>
      <c r="O42" s="14">
        <f>'2013'!$F38</f>
        <v>1.6589355645149637</v>
      </c>
      <c r="P42" s="14">
        <f>'2014'!$F38</f>
        <v>2.1006687128735981</v>
      </c>
      <c r="Q42" s="14">
        <f>'2015'!$F38</f>
        <v>2.2275521088082595</v>
      </c>
      <c r="R42" s="14">
        <f>'2016'!$F38</f>
        <v>2.8615831716325886</v>
      </c>
      <c r="S42" s="14">
        <f>'2017'!$F38</f>
        <v>2.1820318073098068</v>
      </c>
      <c r="T42" s="14">
        <f>'2018'!$F38</f>
        <v>2.0402804480166119</v>
      </c>
      <c r="U42" s="14">
        <f>'2019'!$F38</f>
        <v>2.6609059216534634</v>
      </c>
      <c r="V42" s="14">
        <f>'2020'!$F38</f>
        <v>1.6893025071200747</v>
      </c>
      <c r="W42" s="14">
        <f>'2021'!$F38</f>
        <v>2.2882523089570048</v>
      </c>
      <c r="X42" s="14">
        <f>'2022'!$F38</f>
        <v>2.3618690052237179</v>
      </c>
    </row>
    <row r="43" spans="2:24" ht="20.100000000000001" customHeight="1" thickBot="1" x14ac:dyDescent="0.25">
      <c r="B43" s="9" t="s">
        <v>58</v>
      </c>
      <c r="C43" s="14">
        <f>'2001'!$F39</f>
        <v>1.698113312906834</v>
      </c>
      <c r="D43" s="14">
        <f>'2002'!$F39</f>
        <v>1.673375365830359</v>
      </c>
      <c r="E43" s="14">
        <f>'2003'!$F39</f>
        <v>1.9026246463069569</v>
      </c>
      <c r="F43" s="14">
        <f>'2004'!$F39</f>
        <v>3.7081195673464284</v>
      </c>
      <c r="G43" s="14">
        <f>'2005'!$F39</f>
        <v>4.0124792447129458</v>
      </c>
      <c r="H43" s="14">
        <f>'2006'!$F39</f>
        <v>4.9614001437705877</v>
      </c>
      <c r="I43" s="14">
        <f>'2007'!$F39</f>
        <v>5.6033776143436471</v>
      </c>
      <c r="J43" s="14">
        <f>'2008'!$F39</f>
        <v>7.0930433165944846</v>
      </c>
      <c r="K43" s="14">
        <f>'2009'!$F39</f>
        <v>6.4785408706402388</v>
      </c>
      <c r="L43" s="14">
        <f>'2010'!$F39</f>
        <v>4.8542396562519547</v>
      </c>
      <c r="M43" s="14">
        <f>'2011'!$F39</f>
        <v>6.1240307688514681</v>
      </c>
      <c r="N43" s="14">
        <f>'2012'!$F39</f>
        <v>3.7973027870789839</v>
      </c>
      <c r="O43" s="14">
        <f>'2013'!$F39</f>
        <v>2.9413978891090227</v>
      </c>
      <c r="P43" s="14">
        <f>'2014'!$F39</f>
        <v>3.0276832691914404</v>
      </c>
      <c r="Q43" s="14">
        <f>'2015'!$F39</f>
        <v>2.9808935720948098</v>
      </c>
      <c r="R43" s="14">
        <f>'2016'!$F39</f>
        <v>2.4714720714223422</v>
      </c>
      <c r="S43" s="14">
        <f>'2017'!$F39</f>
        <v>2.4823333718548608</v>
      </c>
      <c r="T43" s="14">
        <f>'2018'!$F39</f>
        <v>2.9143766744060082</v>
      </c>
      <c r="U43" s="14">
        <f>'2019'!$F39</f>
        <v>2.9519491118189922</v>
      </c>
      <c r="V43" s="14">
        <f>'2020'!$F39</f>
        <v>2.3919274182700363</v>
      </c>
      <c r="W43" s="14">
        <f>'2021'!$F39</f>
        <v>2.9967779304902158</v>
      </c>
      <c r="X43" s="14">
        <f>'2022'!$F39</f>
        <v>4.6367702815374514</v>
      </c>
    </row>
    <row r="44" spans="2:24" ht="20.100000000000001" customHeight="1" thickBot="1" x14ac:dyDescent="0.25">
      <c r="B44" s="9" t="s">
        <v>59</v>
      </c>
      <c r="C44" s="14">
        <f>'2001'!$F40</f>
        <v>2.0910124093869027</v>
      </c>
      <c r="D44" s="14">
        <f>'2002'!$F40</f>
        <v>2.5548680085112143</v>
      </c>
      <c r="E44" s="14">
        <f>'2003'!$F40</f>
        <v>2.5347482344042067</v>
      </c>
      <c r="F44" s="14">
        <f>'2004'!$F40</f>
        <v>3.8364003791333583</v>
      </c>
      <c r="G44" s="14">
        <f>'2005'!$F40</f>
        <v>3.4580768386600056</v>
      </c>
      <c r="H44" s="14">
        <f>'2006'!$F40</f>
        <v>5.905637211348318</v>
      </c>
      <c r="I44" s="14">
        <f>'2007'!$F40</f>
        <v>4.088241166690719</v>
      </c>
      <c r="J44" s="14">
        <f>'2008'!$F40</f>
        <v>4.5449864098189616</v>
      </c>
      <c r="K44" s="14">
        <f>'2009'!$F40</f>
        <v>5.3023474201980081</v>
      </c>
      <c r="L44" s="14">
        <f>'2010'!$F40</f>
        <v>4.51863463052256</v>
      </c>
      <c r="M44" s="14">
        <f>'2011'!$F40</f>
        <v>4.7907926243075059</v>
      </c>
      <c r="N44" s="14">
        <f>'2012'!$F40</f>
        <v>3.8541269320905882</v>
      </c>
      <c r="O44" s="14">
        <f>'2013'!$F40</f>
        <v>3.4918351432759489</v>
      </c>
      <c r="P44" s="14">
        <f>'2014'!$F40</f>
        <v>7.2202410898365441</v>
      </c>
      <c r="Q44" s="14">
        <f>'2015'!$F40</f>
        <v>4.2235199723997878</v>
      </c>
      <c r="R44" s="14">
        <f>'2016'!$F40</f>
        <v>3.8421455129755269</v>
      </c>
      <c r="S44" s="14">
        <f>'2017'!$F40</f>
        <v>3.467403403010521</v>
      </c>
      <c r="T44" s="14">
        <f>'2018'!$F40</f>
        <v>4.3122962901577644</v>
      </c>
      <c r="U44" s="14">
        <f>'2019'!$F40</f>
        <v>5.0836901283860421</v>
      </c>
      <c r="V44" s="14">
        <f>'2020'!$F40</f>
        <v>2.9420138559362248</v>
      </c>
      <c r="W44" s="14">
        <f>'2021'!$F40</f>
        <v>2.6143351432576631</v>
      </c>
      <c r="X44" s="14">
        <f>'2022'!$F40</f>
        <v>2.1260271128905655</v>
      </c>
    </row>
    <row r="45" spans="2:24" ht="20.100000000000001" customHeight="1" thickBot="1" x14ac:dyDescent="0.25">
      <c r="B45" s="9" t="s">
        <v>60</v>
      </c>
      <c r="C45" s="14">
        <f>'2001'!$F41</f>
        <v>3.4190820058838454</v>
      </c>
      <c r="D45" s="14">
        <f>'2002'!$F41</f>
        <v>3.9046677527907656</v>
      </c>
      <c r="E45" s="14">
        <f>'2003'!$F41</f>
        <v>4.4751542273661986</v>
      </c>
      <c r="F45" s="14">
        <f>'2004'!$F41</f>
        <v>5.1502517197113766</v>
      </c>
      <c r="G45" s="14">
        <f>'2005'!$F41</f>
        <v>4.3554685160563924</v>
      </c>
      <c r="H45" s="14">
        <f>'2006'!$F41</f>
        <v>4.8704449954973565</v>
      </c>
      <c r="I45" s="14">
        <f>'2007'!$F41</f>
        <v>5.2876302782021911</v>
      </c>
      <c r="J45" s="14">
        <f>'2008'!$F41</f>
        <v>5.5816210401869704</v>
      </c>
      <c r="K45" s="14">
        <f>'2009'!$F41</f>
        <v>4.9657108093908136</v>
      </c>
      <c r="L45" s="14">
        <f>'2010'!$F41</f>
        <v>5.1738089261200058</v>
      </c>
      <c r="M45" s="14">
        <f>'2011'!$F41</f>
        <v>5.190232567314867</v>
      </c>
      <c r="N45" s="14">
        <f>'2012'!$F41</f>
        <v>4.0835593499673442</v>
      </c>
      <c r="O45" s="14">
        <f>'2013'!$F41</f>
        <v>2.6486890042383098</v>
      </c>
      <c r="P45" s="14">
        <f>'2014'!$F41</f>
        <v>2.6029132448606438</v>
      </c>
      <c r="Q45" s="14">
        <f>'2015'!$F41</f>
        <v>2.7322516097725873</v>
      </c>
      <c r="R45" s="14">
        <f>'2016'!$F41</f>
        <v>2.8910869189751556</v>
      </c>
      <c r="S45" s="14">
        <f>'2017'!$F41</f>
        <v>2.7233037673955787</v>
      </c>
      <c r="T45" s="14">
        <f>'2018'!$F41</f>
        <v>2.4754668385515406</v>
      </c>
      <c r="U45" s="14">
        <f>'2019'!$F41</f>
        <v>2.6199914585868647</v>
      </c>
      <c r="V45" s="14">
        <f>'2020'!$F41</f>
        <v>2.725556509143749</v>
      </c>
      <c r="W45" s="14">
        <f>'2021'!$F41</f>
        <v>3.2249227190767646</v>
      </c>
      <c r="X45" s="14">
        <f>'2022'!$F41</f>
        <v>2.964136646633555</v>
      </c>
    </row>
    <row r="46" spans="2:24" ht="20.100000000000001" customHeight="1" thickBot="1" x14ac:dyDescent="0.25">
      <c r="B46" s="9" t="s">
        <v>61</v>
      </c>
      <c r="C46" s="14">
        <f>'2001'!$F42</f>
        <v>2.0224246444577476</v>
      </c>
      <c r="D46" s="14">
        <f>'2002'!$F42</f>
        <v>1.8187308208163924</v>
      </c>
      <c r="E46" s="14">
        <f>'2003'!$F42</f>
        <v>1.2400338977188219</v>
      </c>
      <c r="F46" s="14">
        <f>'2004'!$F42</f>
        <v>2.5447468421538684</v>
      </c>
      <c r="G46" s="14">
        <f>'2005'!$F42</f>
        <v>2.7061091340450769</v>
      </c>
      <c r="H46" s="14">
        <f>'2006'!$F42</f>
        <v>2.3044690416931122</v>
      </c>
      <c r="I46" s="14">
        <f>'2007'!$F42</f>
        <v>2.6688629356501989</v>
      </c>
      <c r="J46" s="14">
        <f>'2008'!$F42</f>
        <v>2.8853422999240785</v>
      </c>
      <c r="K46" s="14">
        <f>'2009'!$F42</f>
        <v>3.4492164331771806</v>
      </c>
      <c r="L46" s="14">
        <f>'2010'!$F42</f>
        <v>3.5765648648818384</v>
      </c>
      <c r="M46" s="14">
        <f>'2011'!$F42</f>
        <v>3.5090670367307268</v>
      </c>
      <c r="N46" s="14">
        <f>'2012'!$F42</f>
        <v>2.3349044163049246</v>
      </c>
      <c r="O46" s="14">
        <f>'2013'!$F42</f>
        <v>2.0155878332353212</v>
      </c>
      <c r="P46" s="14">
        <f>'2014'!$F42</f>
        <v>1.5652553878805848</v>
      </c>
      <c r="Q46" s="14">
        <f>'2015'!$F42</f>
        <v>1.9063946190021173</v>
      </c>
      <c r="R46" s="14">
        <f>'2016'!$F42</f>
        <v>1.8699845624813665</v>
      </c>
      <c r="S46" s="14">
        <f>'2017'!$F42</f>
        <v>1.8142697680781799</v>
      </c>
      <c r="T46" s="14">
        <f>'2018'!$F42</f>
        <v>1.692522940171785</v>
      </c>
      <c r="U46" s="14">
        <f>'2019'!$F42</f>
        <v>1.8571904606138052</v>
      </c>
      <c r="V46" s="14">
        <f>'2020'!$F42</f>
        <v>1.7680056019612913</v>
      </c>
      <c r="W46" s="14">
        <f>'2021'!$F42</f>
        <v>2.2493072949812327</v>
      </c>
      <c r="X46" s="14">
        <f>'2022'!$F42</f>
        <v>1.9258182082030182</v>
      </c>
    </row>
    <row r="47" spans="2:24" ht="20.100000000000001" customHeight="1" thickBot="1" x14ac:dyDescent="0.25">
      <c r="B47" s="9" t="s">
        <v>62</v>
      </c>
      <c r="C47" s="14">
        <f>'2001'!$F43</f>
        <v>2.0892395458225366</v>
      </c>
      <c r="D47" s="14">
        <f>'2002'!$F43</f>
        <v>2.2311558958367272</v>
      </c>
      <c r="E47" s="14">
        <f>'2003'!$F43</f>
        <v>1.6510185177068084</v>
      </c>
      <c r="F47" s="14">
        <f>'2004'!$F43</f>
        <v>1.9514603624308613</v>
      </c>
      <c r="G47" s="14">
        <f>'2005'!$F43</f>
        <v>2.1410375344200494</v>
      </c>
      <c r="H47" s="14">
        <f>'2006'!$F43</f>
        <v>2.6013446678339744</v>
      </c>
      <c r="I47" s="14">
        <f>'2007'!$F43</f>
        <v>2.7157298635308647</v>
      </c>
      <c r="J47" s="14">
        <f>'2008'!$F43</f>
        <v>2.6599305561754125</v>
      </c>
      <c r="K47" s="14">
        <f>'2009'!$F43</f>
        <v>2.8989220657724597</v>
      </c>
      <c r="L47" s="14">
        <f>'2010'!$F43</f>
        <v>2.6937613918065506</v>
      </c>
      <c r="M47" s="14">
        <f>'2011'!$F43</f>
        <v>2.877658983907315</v>
      </c>
      <c r="N47" s="14">
        <f>'2012'!$F43</f>
        <v>2.2376512836972418</v>
      </c>
      <c r="O47" s="14">
        <f>'2013'!$F43</f>
        <v>1.8486551339968902</v>
      </c>
      <c r="P47" s="14">
        <f>'2014'!$F43</f>
        <v>2.6963042945394404</v>
      </c>
      <c r="Q47" s="14">
        <f>'2015'!$F43</f>
        <v>2.7607564284166326</v>
      </c>
      <c r="R47" s="14">
        <f>'2016'!$F43</f>
        <v>2.2042032313492328</v>
      </c>
      <c r="S47" s="14">
        <f>'2017'!$F43</f>
        <v>2.0405544147843941</v>
      </c>
      <c r="T47" s="14">
        <f>'2018'!$F43</f>
        <v>1.9690067347143325</v>
      </c>
      <c r="U47" s="14">
        <f>'2019'!$F43</f>
        <v>2.2005454232230677</v>
      </c>
      <c r="V47" s="14">
        <f>'2020'!$F43</f>
        <v>1.9077123756725909</v>
      </c>
      <c r="W47" s="14">
        <f>'2021'!$F43</f>
        <v>2.1263142030580919</v>
      </c>
      <c r="X47" s="14">
        <f>'2022'!$F43</f>
        <v>2.1918400644774478</v>
      </c>
    </row>
    <row r="48" spans="2:24" ht="20.100000000000001" customHeight="1" thickBot="1" x14ac:dyDescent="0.25">
      <c r="B48" s="9" t="s">
        <v>63</v>
      </c>
      <c r="C48" s="14">
        <f>'2001'!$F44</f>
        <v>1.1221066283233248</v>
      </c>
      <c r="D48" s="14">
        <f>'2002'!$F44</f>
        <v>1.4932576295244855</v>
      </c>
      <c r="E48" s="14">
        <f>'2003'!$F44</f>
        <v>1.5310173839026091</v>
      </c>
      <c r="F48" s="14">
        <f>'2004'!$F44</f>
        <v>2.2357606759009139</v>
      </c>
      <c r="G48" s="14">
        <f>'2005'!$F44</f>
        <v>1.9830403929187013</v>
      </c>
      <c r="H48" s="14">
        <f>'2006'!$F44</f>
        <v>2.6508348108320385</v>
      </c>
      <c r="I48" s="14">
        <f>'2007'!$F44</f>
        <v>2.9374253380347528</v>
      </c>
      <c r="J48" s="14">
        <f>'2008'!$F44</f>
        <v>3.3726521152582243</v>
      </c>
      <c r="K48" s="14">
        <f>'2009'!$F44</f>
        <v>4.9911716847656749</v>
      </c>
      <c r="L48" s="14">
        <f>'2010'!$F44</f>
        <v>3.6693525013042723</v>
      </c>
      <c r="M48" s="14">
        <f>'2011'!$F44</f>
        <v>2.7844443926649114</v>
      </c>
      <c r="N48" s="14">
        <f>'2012'!$F44</f>
        <v>2.9230345667875324</v>
      </c>
      <c r="O48" s="14">
        <f>'2013'!$F44</f>
        <v>3.8471782427273538</v>
      </c>
      <c r="P48" s="14">
        <f>'2014'!$F44</f>
        <v>3.2098514996211418</v>
      </c>
      <c r="Q48" s="14">
        <f>'2015'!$F44</f>
        <v>1.9513957900442678</v>
      </c>
      <c r="R48" s="14">
        <f>'2016'!$F44</f>
        <v>2.0650615874249896</v>
      </c>
      <c r="S48" s="14">
        <f>'2017'!$F44</f>
        <v>1.811616377991309</v>
      </c>
      <c r="T48" s="14">
        <f>'2018'!$F44</f>
        <v>2.3328293269972535</v>
      </c>
      <c r="U48" s="14">
        <f>'2019'!$F44</f>
        <v>1.5840477077897877</v>
      </c>
      <c r="V48" s="14">
        <f>'2020'!$F44</f>
        <v>1.8026334666076185</v>
      </c>
      <c r="W48" s="14">
        <f>'2021'!$F44</f>
        <v>2.3126763572833591</v>
      </c>
      <c r="X48" s="14">
        <f>'2022'!$F44</f>
        <v>1.7030850348472566</v>
      </c>
    </row>
    <row r="49" spans="2:24" ht="20.100000000000001" customHeight="1" thickBot="1" x14ac:dyDescent="0.25">
      <c r="B49" s="9" t="s">
        <v>64</v>
      </c>
      <c r="C49" s="14">
        <f>'2001'!$F45</f>
        <v>2.5623054475760307</v>
      </c>
      <c r="D49" s="14">
        <f>'2002'!$F45</f>
        <v>2.1492328899927133</v>
      </c>
      <c r="E49" s="14">
        <f>'2003'!$F45</f>
        <v>2.0457204222922276</v>
      </c>
      <c r="F49" s="14">
        <f>'2004'!$F45</f>
        <v>3.2944055887382384</v>
      </c>
      <c r="G49" s="14">
        <f>'2005'!$F45</f>
        <v>2.6760797210868756</v>
      </c>
      <c r="H49" s="14">
        <f>'2006'!$F45</f>
        <v>3.2679610930045908</v>
      </c>
      <c r="I49" s="14">
        <f>'2007'!$F45</f>
        <v>2.6589747354219382</v>
      </c>
      <c r="J49" s="14">
        <f>'2008'!$F45</f>
        <v>2.8868295527610388</v>
      </c>
      <c r="K49" s="14">
        <f>'2009'!$F45</f>
        <v>3.4222364148843285</v>
      </c>
      <c r="L49" s="14">
        <f>'2010'!$F45</f>
        <v>3.972107224888938</v>
      </c>
      <c r="M49" s="14">
        <f>'2011'!$F45</f>
        <v>3.2425386059909935</v>
      </c>
      <c r="N49" s="14">
        <f>'2012'!$F45</f>
        <v>2.6489512751030375</v>
      </c>
      <c r="O49" s="14">
        <f>'2013'!$F45</f>
        <v>2.7494677718892966</v>
      </c>
      <c r="P49" s="14">
        <f>'2014'!$F45</f>
        <v>2.4590305510682917</v>
      </c>
      <c r="Q49" s="14">
        <f>'2015'!$F45</f>
        <v>3.1773315149407413</v>
      </c>
      <c r="R49" s="14">
        <f>'2016'!$F45</f>
        <v>2.3210056476589545</v>
      </c>
      <c r="S49" s="14">
        <f>'2017'!$F45</f>
        <v>2.1908621692352428</v>
      </c>
      <c r="T49" s="14">
        <f>'2018'!$F45</f>
        <v>2.4315369531408479</v>
      </c>
      <c r="U49" s="14">
        <f>'2019'!$F45</f>
        <v>2.481243406408034</v>
      </c>
      <c r="V49" s="14">
        <f>'2020'!$F45</f>
        <v>2.3588387935264552</v>
      </c>
      <c r="W49" s="14">
        <f>'2021'!$F45</f>
        <v>2.7672947058099009</v>
      </c>
      <c r="X49" s="14">
        <f>'2022'!$F45</f>
        <v>2.3862710991822169</v>
      </c>
    </row>
    <row r="50" spans="2:24" ht="20.100000000000001" customHeight="1" thickBot="1" x14ac:dyDescent="0.25">
      <c r="B50" s="9" t="s">
        <v>65</v>
      </c>
      <c r="C50" s="14">
        <f>'2001'!$F46</f>
        <v>1.5379141125722569</v>
      </c>
      <c r="D50" s="14">
        <f>'2002'!$F46</f>
        <v>2.0077527300871587</v>
      </c>
      <c r="E50" s="14">
        <f>'2003'!$F46</f>
        <v>1.8424783436022663</v>
      </c>
      <c r="F50" s="14">
        <f>'2004'!$F46</f>
        <v>1.9421417913894801</v>
      </c>
      <c r="G50" s="14">
        <f>'2005'!$F46</f>
        <v>2.0728734929037391</v>
      </c>
      <c r="H50" s="14">
        <f>'2006'!$F46</f>
        <v>2.27543348280224</v>
      </c>
      <c r="I50" s="14">
        <f>'2007'!$F46</f>
        <v>2.5315547376163288</v>
      </c>
      <c r="J50" s="14">
        <f>'2008'!$F46</f>
        <v>2.5351374029788127</v>
      </c>
      <c r="K50" s="14">
        <f>'2009'!$F46</f>
        <v>2.7142089096902988</v>
      </c>
      <c r="L50" s="14">
        <f>'2010'!$F46</f>
        <v>2.7315080334804547</v>
      </c>
      <c r="M50" s="14">
        <f>'2011'!$F46</f>
        <v>2.7327140011893998</v>
      </c>
      <c r="N50" s="14">
        <f>'2012'!$F46</f>
        <v>2.3945460691882956</v>
      </c>
      <c r="O50" s="14">
        <f>'2013'!$F46</f>
        <v>1.8271294696612743</v>
      </c>
      <c r="P50" s="14">
        <f>'2014'!$F46</f>
        <v>2.7436616578278485</v>
      </c>
      <c r="Q50" s="14">
        <f>'2015'!$F46</f>
        <v>2.4013747474598204</v>
      </c>
      <c r="R50" s="14">
        <f>'2016'!$F46</f>
        <v>2.4366069216155943</v>
      </c>
      <c r="S50" s="14">
        <f>'2017'!$F46</f>
        <v>2.1607436267609743</v>
      </c>
      <c r="T50" s="14">
        <f>'2018'!$F46</f>
        <v>2.4602557731595329</v>
      </c>
      <c r="U50" s="14">
        <f>'2019'!$F46</f>
        <v>2.1959020436740517</v>
      </c>
      <c r="V50" s="14">
        <f>'2020'!$F46</f>
        <v>2.0446198889791494</v>
      </c>
      <c r="W50" s="14">
        <f>'2021'!$F46</f>
        <v>2.2853511953615211</v>
      </c>
      <c r="X50" s="14">
        <f>'2022'!$F46</f>
        <v>1.9845913531545365</v>
      </c>
    </row>
    <row r="51" spans="2:24" ht="20.100000000000001" customHeight="1" thickBot="1" x14ac:dyDescent="0.25">
      <c r="B51" s="9" t="s">
        <v>30</v>
      </c>
      <c r="C51" s="14">
        <f>'2001'!$F47</f>
        <v>1.8823964497041419</v>
      </c>
      <c r="D51" s="14">
        <f>'2002'!$F47</f>
        <v>1.6867059166092595</v>
      </c>
      <c r="E51" s="14">
        <f>'2003'!$F47</f>
        <v>1.3361634016493267</v>
      </c>
      <c r="F51" s="14">
        <f>'2004'!$F47</f>
        <v>2.3982040721777671</v>
      </c>
      <c r="G51" s="14">
        <f>'2005'!$F47</f>
        <v>3.57707483625832</v>
      </c>
      <c r="H51" s="14">
        <f>'2006'!$F47</f>
        <v>2.6731771640821602</v>
      </c>
      <c r="I51" s="14">
        <f>'2007'!$F47</f>
        <v>3.2592372025581935</v>
      </c>
      <c r="J51" s="14">
        <f>'2008'!$F47</f>
        <v>3.303926601805979</v>
      </c>
      <c r="K51" s="14">
        <f>'2009'!$F47</f>
        <v>2.7136915530522039</v>
      </c>
      <c r="L51" s="14">
        <f>'2010'!$F47</f>
        <v>3.2597738938945149</v>
      </c>
      <c r="M51" s="14">
        <f>'2011'!$F47</f>
        <v>4.6910560294777905</v>
      </c>
      <c r="N51" s="14">
        <f>'2012'!$F47</f>
        <v>2.2898003454786484</v>
      </c>
      <c r="O51" s="14">
        <f>'2013'!$F47</f>
        <v>2.9096939076537063</v>
      </c>
      <c r="P51" s="14">
        <f>'2014'!$F47</f>
        <v>3.2601676478517376</v>
      </c>
      <c r="Q51" s="14">
        <f>'2015'!$F47</f>
        <v>3.0815037233522471</v>
      </c>
      <c r="R51" s="14">
        <f>'2016'!$F47</f>
        <v>2.1406359842175595</v>
      </c>
      <c r="S51" s="14">
        <f>'2017'!$F47</f>
        <v>2.8758866260174201</v>
      </c>
      <c r="T51" s="14">
        <f>'2018'!$F47</f>
        <v>2.4772313296903459</v>
      </c>
      <c r="U51" s="14">
        <f>'2019'!$F47</f>
        <v>2.1906703956464373</v>
      </c>
      <c r="V51" s="14">
        <f>'2020'!$F47</f>
        <v>2.0693061260213681</v>
      </c>
      <c r="W51" s="14">
        <f>'2021'!$F47</f>
        <v>2.5954045704136384</v>
      </c>
      <c r="X51" s="14">
        <f>'2022'!$F47</f>
        <v>1.9231009768727563</v>
      </c>
    </row>
    <row r="52" spans="2:24" ht="20.100000000000001" customHeight="1" thickBot="1" x14ac:dyDescent="0.25">
      <c r="B52" s="9" t="s">
        <v>66</v>
      </c>
      <c r="C52" s="14">
        <f>'2001'!$F48</f>
        <v>1.5790570773452424</v>
      </c>
      <c r="D52" s="14">
        <f>'2002'!$F48</f>
        <v>1.6075132519013597</v>
      </c>
      <c r="E52" s="14">
        <f>'2003'!$F48</f>
        <v>2.030028339999598</v>
      </c>
      <c r="F52" s="14">
        <f>'2004'!$F48</f>
        <v>2.632598636974905</v>
      </c>
      <c r="G52" s="14">
        <f>'2005'!$F48</f>
        <v>3.3426594857185012</v>
      </c>
      <c r="H52" s="14">
        <f>'2006'!$F48</f>
        <v>2.8886182775905525</v>
      </c>
      <c r="I52" s="14">
        <f>'2007'!$F48</f>
        <v>2.7723538821493428</v>
      </c>
      <c r="J52" s="14">
        <f>'2008'!$F48</f>
        <v>3.0390148385417257</v>
      </c>
      <c r="K52" s="14">
        <f>'2009'!$F48</f>
        <v>2.9469160312232097</v>
      </c>
      <c r="L52" s="14">
        <f>'2010'!$F48</f>
        <v>4.241853520314236</v>
      </c>
      <c r="M52" s="14">
        <f>'2011'!$F48</f>
        <v>3.2919152600953012</v>
      </c>
      <c r="N52" s="14">
        <f>'2012'!$F48</f>
        <v>2.5901119339122101</v>
      </c>
      <c r="O52" s="14">
        <f>'2013'!$F48</f>
        <v>2.2977994374153519</v>
      </c>
      <c r="P52" s="14">
        <f>'2014'!$F48</f>
        <v>2.394447218499149</v>
      </c>
      <c r="Q52" s="14">
        <f>'2015'!$F48</f>
        <v>2.4690994269214337</v>
      </c>
      <c r="R52" s="14">
        <f>'2016'!$F48</f>
        <v>1.6816226914892034</v>
      </c>
      <c r="S52" s="14">
        <f>'2017'!$F48</f>
        <v>1.6156929044403077</v>
      </c>
      <c r="T52" s="14">
        <f>'2018'!$F48</f>
        <v>2.2988297689404567</v>
      </c>
      <c r="U52" s="14">
        <f>'2019'!$F48</f>
        <v>2.6445009223946516</v>
      </c>
      <c r="V52" s="14">
        <f>'2020'!$F48</f>
        <v>1.6826375495451715</v>
      </c>
      <c r="W52" s="14">
        <f>'2021'!$F48</f>
        <v>2.4256273332152087</v>
      </c>
      <c r="X52" s="14">
        <f>'2022'!$F48</f>
        <v>2.456176795850161</v>
      </c>
    </row>
    <row r="53" spans="2:24" ht="20.100000000000001" customHeight="1" thickBot="1" x14ac:dyDescent="0.25">
      <c r="B53" s="9" t="s">
        <v>67</v>
      </c>
      <c r="C53" s="14">
        <f>'2001'!$F49</f>
        <v>1.5779497857162865</v>
      </c>
      <c r="D53" s="14">
        <f>'2002'!$F49</f>
        <v>1.3430893070376086</v>
      </c>
      <c r="E53" s="14">
        <f>'2003'!$F49</f>
        <v>1.6268565722164801</v>
      </c>
      <c r="F53" s="14">
        <f>'2004'!$F49</f>
        <v>2.5312038189941535</v>
      </c>
      <c r="G53" s="14">
        <f>'2005'!$F49</f>
        <v>2.0222679515492206</v>
      </c>
      <c r="H53" s="14">
        <f>'2006'!$F49</f>
        <v>2.0727692258608323</v>
      </c>
      <c r="I53" s="14">
        <f>'2007'!$F49</f>
        <v>2.7728649549714377</v>
      </c>
      <c r="J53" s="14">
        <f>'2008'!$F49</f>
        <v>2.3172448346614498</v>
      </c>
      <c r="K53" s="14">
        <f>'2009'!$F49</f>
        <v>2.2440200295936266</v>
      </c>
      <c r="L53" s="14">
        <f>'2010'!$F49</f>
        <v>2.3931963179799087</v>
      </c>
      <c r="M53" s="14">
        <f>'2011'!$F49</f>
        <v>2.4461321688229338</v>
      </c>
      <c r="N53" s="14">
        <f>'2012'!$F49</f>
        <v>2.0657847279345787</v>
      </c>
      <c r="O53" s="14">
        <f>'2013'!$F49</f>
        <v>2.261464739379738</v>
      </c>
      <c r="P53" s="14">
        <f>'2014'!$F49</f>
        <v>1.8571081661007098</v>
      </c>
      <c r="Q53" s="14">
        <f>'2015'!$F49</f>
        <v>2.1479189539874239</v>
      </c>
      <c r="R53" s="14">
        <f>'2016'!$F49</f>
        <v>1.8384183626723394</v>
      </c>
      <c r="S53" s="14">
        <f>'2017'!$F49</f>
        <v>2.0930073309839519</v>
      </c>
      <c r="T53" s="14">
        <f>'2018'!$F49</f>
        <v>2.3701289138054609</v>
      </c>
      <c r="U53" s="14">
        <f>'2019'!$F49</f>
        <v>2.6825223648404668</v>
      </c>
      <c r="V53" s="14">
        <f>'2020'!$F49</f>
        <v>2.8864365237580714</v>
      </c>
      <c r="W53" s="14">
        <f>'2021'!$F49</f>
        <v>4.1717532949382656</v>
      </c>
      <c r="X53" s="14">
        <f>'2022'!$F49</f>
        <v>2.890641082721741</v>
      </c>
    </row>
    <row r="54" spans="2:24" ht="20.100000000000001" customHeight="1" thickBot="1" x14ac:dyDescent="0.25">
      <c r="B54" s="9" t="s">
        <v>68</v>
      </c>
      <c r="C54" s="14">
        <f>'2001'!$F50</f>
        <v>2.7681802105721358</v>
      </c>
      <c r="D54" s="14">
        <f>'2002'!$F50</f>
        <v>3.0411425049904213</v>
      </c>
      <c r="E54" s="14">
        <f>'2003'!$F50</f>
        <v>1.6257357283627845</v>
      </c>
      <c r="F54" s="14">
        <f>'2004'!$F50</f>
        <v>1.7492138364779874</v>
      </c>
      <c r="G54" s="14">
        <f>'2005'!$F50</f>
        <v>1.9033288965193516</v>
      </c>
      <c r="H54" s="14">
        <f>'2006'!$F50</f>
        <v>2.3435803777826028</v>
      </c>
      <c r="I54" s="14">
        <f>'2007'!$F50</f>
        <v>2.5106388320508155</v>
      </c>
      <c r="J54" s="14">
        <f>'2008'!$F50</f>
        <v>3.0750645214430836</v>
      </c>
      <c r="K54" s="14">
        <f>'2009'!$F50</f>
        <v>3.02692079051767</v>
      </c>
      <c r="L54" s="14">
        <f>'2010'!$F50</f>
        <v>4.0787006598972413</v>
      </c>
      <c r="M54" s="14">
        <f>'2011'!$F50</f>
        <v>3.1126461146745124</v>
      </c>
      <c r="N54" s="14">
        <f>'2012'!$F50</f>
        <v>2.5473271391133836</v>
      </c>
      <c r="O54" s="14">
        <f>'2013'!$F50</f>
        <v>2.5046072404794004</v>
      </c>
      <c r="P54" s="14">
        <f>'2014'!$F50</f>
        <v>2.4669968550498109</v>
      </c>
      <c r="Q54" s="14">
        <f>'2015'!$F50</f>
        <v>2.2910452497302787</v>
      </c>
      <c r="R54" s="14">
        <f>'2016'!$F50</f>
        <v>2.2164829234446075</v>
      </c>
      <c r="S54" s="14">
        <f>'2017'!$F50</f>
        <v>2.5294453380376694</v>
      </c>
      <c r="T54" s="14">
        <f>'2018'!$F50</f>
        <v>3.2672066361466525</v>
      </c>
      <c r="U54" s="14">
        <f>'2019'!$F50</f>
        <v>2.2791241371653967</v>
      </c>
      <c r="V54" s="14">
        <f>'2020'!$F50</f>
        <v>1.5507108510666026</v>
      </c>
      <c r="W54" s="14">
        <f>'2021'!$F50</f>
        <v>2.1215256763176562</v>
      </c>
      <c r="X54" s="14">
        <f>'2022'!$F50</f>
        <v>1.9132777571699109</v>
      </c>
    </row>
    <row r="55" spans="2:24" ht="20.100000000000001" customHeight="1" thickBot="1" x14ac:dyDescent="0.25">
      <c r="B55" s="9" t="s">
        <v>69</v>
      </c>
      <c r="C55" s="14">
        <f>'2001'!$F51</f>
        <v>3.0009596890538792</v>
      </c>
      <c r="D55" s="14">
        <f>'2002'!$F51</f>
        <v>2.3357896652110623</v>
      </c>
      <c r="E55" s="14">
        <f>'2003'!$F51</f>
        <v>2.6182620976833877</v>
      </c>
      <c r="F55" s="14">
        <f>'2004'!$F51</f>
        <v>3.5382332265875189</v>
      </c>
      <c r="G55" s="14">
        <f>'2005'!$F51</f>
        <v>3.4086624018417693</v>
      </c>
      <c r="H55" s="14">
        <f>'2006'!$F51</f>
        <v>6.656396434591028</v>
      </c>
      <c r="I55" s="14">
        <f>'2007'!$F51</f>
        <v>6.7853875154926167</v>
      </c>
      <c r="J55" s="14">
        <f>'2008'!$F51</f>
        <v>4.4740975823557081</v>
      </c>
      <c r="K55" s="14">
        <f>'2009'!$F51</f>
        <v>5.2225421845003535</v>
      </c>
      <c r="L55" s="14">
        <f>'2010'!$F51</f>
        <v>5.7352340544062193</v>
      </c>
      <c r="M55" s="14">
        <f>'2011'!$F51</f>
        <v>5.497775487542004</v>
      </c>
      <c r="N55" s="14">
        <f>'2012'!$F51</f>
        <v>3.9608576494579091</v>
      </c>
      <c r="O55" s="14">
        <f>'2013'!$F51</f>
        <v>3.7309071624046486</v>
      </c>
      <c r="P55" s="14">
        <f>'2014'!$F51</f>
        <v>5.1175596426207468</v>
      </c>
      <c r="Q55" s="14">
        <f>'2015'!$F51</f>
        <v>4.4012814965902294</v>
      </c>
      <c r="R55" s="14">
        <f>'2016'!$F51</f>
        <v>5.0057352012475667</v>
      </c>
      <c r="S55" s="14">
        <f>'2017'!$F51</f>
        <v>3.1817035803059199</v>
      </c>
      <c r="T55" s="14">
        <f>'2018'!$F51</f>
        <v>2.8594449058115239</v>
      </c>
      <c r="U55" s="14">
        <f>'2019'!$F51</f>
        <v>2.6894715734077983</v>
      </c>
      <c r="V55" s="14">
        <f>'2020'!$F51</f>
        <v>2.3356351261063502</v>
      </c>
      <c r="W55" s="14">
        <f>'2021'!$F51</f>
        <v>2.7748514774223092</v>
      </c>
      <c r="X55" s="14">
        <f>'2022'!$F51</f>
        <v>2.681415220458228</v>
      </c>
    </row>
    <row r="56" spans="2:24" ht="20.100000000000001" customHeight="1" thickBot="1" x14ac:dyDescent="0.25">
      <c r="B56" s="9" t="s">
        <v>70</v>
      </c>
      <c r="C56" s="14">
        <f>'2001'!$F52</f>
        <v>1.796000613268502</v>
      </c>
      <c r="D56" s="14">
        <f>'2002'!$F52</f>
        <v>1.7488823548700907</v>
      </c>
      <c r="E56" s="14">
        <f>'2003'!$F52</f>
        <v>2.7926204454999231</v>
      </c>
      <c r="F56" s="14">
        <f>'2004'!$F52</f>
        <v>2.7604416706673067</v>
      </c>
      <c r="G56" s="14">
        <f>'2005'!$F52</f>
        <v>2.9103295139749714</v>
      </c>
      <c r="H56" s="14">
        <f>'2006'!$F52</f>
        <v>2.6309316278622075</v>
      </c>
      <c r="I56" s="14">
        <f>'2007'!$F52</f>
        <v>2.9275693695041296</v>
      </c>
      <c r="J56" s="14">
        <f>'2008'!$F52</f>
        <v>4.1734463157449868</v>
      </c>
      <c r="K56" s="14">
        <f>'2009'!$F52</f>
        <v>3.1966015078705796</v>
      </c>
      <c r="L56" s="14">
        <f>'2010'!$F52</f>
        <v>5.5743349639925261</v>
      </c>
      <c r="M56" s="14">
        <f>'2011'!$F52</f>
        <v>6.395513688919694</v>
      </c>
      <c r="N56" s="14">
        <f>'2012'!$F52</f>
        <v>5.8399102854361953</v>
      </c>
      <c r="O56" s="14">
        <f>'2013'!$F52</f>
        <v>5.7240248255458726</v>
      </c>
      <c r="P56" s="14">
        <f>'2014'!$F52</f>
        <v>4.5109031565478581</v>
      </c>
      <c r="Q56" s="14">
        <f>'2015'!$F52</f>
        <v>3.1316616486825044</v>
      </c>
      <c r="R56" s="14">
        <f>'2016'!$F52</f>
        <v>2.2878720568636162</v>
      </c>
      <c r="S56" s="14">
        <f>'2017'!$F52</f>
        <v>1.754721437971722</v>
      </c>
      <c r="T56" s="14">
        <f>'2018'!$F52</f>
        <v>1.9977426636568849</v>
      </c>
      <c r="U56" s="14">
        <f>'2019'!$F52</f>
        <v>2.0420596597319371</v>
      </c>
      <c r="V56" s="14">
        <f>'2020'!$F52</f>
        <v>1.5863372485486702</v>
      </c>
      <c r="W56" s="14">
        <f>'2021'!$F52</f>
        <v>2.5578329408318026</v>
      </c>
      <c r="X56" s="14">
        <f>'2022'!$F52</f>
        <v>1.5887860998118246</v>
      </c>
    </row>
    <row r="57" spans="2:24" ht="20.100000000000001" customHeight="1" thickBot="1" x14ac:dyDescent="0.25">
      <c r="B57" s="9" t="s">
        <v>71</v>
      </c>
      <c r="C57" s="14">
        <f>'2001'!$F53</f>
        <v>1.1485314155200412</v>
      </c>
      <c r="D57" s="14">
        <f>'2002'!$F53</f>
        <v>0.85240415998580388</v>
      </c>
      <c r="E57" s="14">
        <f>'2003'!$F53</f>
        <v>0.92333703789197874</v>
      </c>
      <c r="F57" s="14">
        <f>'2004'!$F53</f>
        <v>1.3276095314947549</v>
      </c>
      <c r="G57" s="14">
        <f>'2005'!$F53</f>
        <v>1.3008808254138489</v>
      </c>
      <c r="H57" s="14">
        <f>'2006'!$F53</f>
        <v>1.3881549586154591</v>
      </c>
      <c r="I57" s="14">
        <f>'2007'!$F53</f>
        <v>1.4265071688253419</v>
      </c>
      <c r="J57" s="14">
        <f>'2008'!$F53</f>
        <v>1.6136494717294443</v>
      </c>
      <c r="K57" s="14">
        <f>'2009'!$F53</f>
        <v>1.7241357847183061</v>
      </c>
      <c r="L57" s="14">
        <f>'2010'!$F53</f>
        <v>1.7503277999059894</v>
      </c>
      <c r="M57" s="14">
        <f>'2011'!$F53</f>
        <v>1.6588591830673118</v>
      </c>
      <c r="N57" s="14">
        <f>'2012'!$F53</f>
        <v>1.7465017765927002</v>
      </c>
      <c r="O57" s="14">
        <f>'2013'!$F53</f>
        <v>1.5404022325958</v>
      </c>
      <c r="P57" s="14">
        <f>'2014'!$F53</f>
        <v>1.4120520074610281</v>
      </c>
      <c r="Q57" s="14">
        <f>'2015'!$F53</f>
        <v>1.2853712924521539</v>
      </c>
      <c r="R57" s="14">
        <f>'2016'!$F53</f>
        <v>1.4590451332135974</v>
      </c>
      <c r="S57" s="14">
        <f>'2017'!$F53</f>
        <v>1.2744839224295277</v>
      </c>
      <c r="T57" s="14">
        <f>'2018'!$F53</f>
        <v>1.2250251915436825</v>
      </c>
      <c r="U57" s="14">
        <f>'2019'!$F53</f>
        <v>1.1831025123529821</v>
      </c>
      <c r="V57" s="14">
        <f>'2020'!$F53</f>
        <v>1.0345604403676913</v>
      </c>
      <c r="W57" s="14">
        <f>'2021'!$F53</f>
        <v>1.3109427234774276</v>
      </c>
      <c r="X57" s="14">
        <f>'2022'!$F53</f>
        <v>1.1589317397717889</v>
      </c>
    </row>
    <row r="58" spans="2:24" ht="20.100000000000001" customHeight="1" thickBot="1" x14ac:dyDescent="0.25">
      <c r="B58" s="9" t="s">
        <v>72</v>
      </c>
      <c r="C58" s="14">
        <f>'2001'!$F54</f>
        <v>1.1597777337355855</v>
      </c>
      <c r="D58" s="14">
        <f>'2002'!$F54</f>
        <v>0.88829345720901109</v>
      </c>
      <c r="E58" s="14">
        <f>'2003'!$F54</f>
        <v>1.3483696984555038</v>
      </c>
      <c r="F58" s="14">
        <f>'2004'!$F54</f>
        <v>1.4210560312345244</v>
      </c>
      <c r="G58" s="14">
        <f>'2005'!$F54</f>
        <v>1.6443288374169862</v>
      </c>
      <c r="H58" s="14">
        <f>'2006'!$F54</f>
        <v>1.3576252110298255</v>
      </c>
      <c r="I58" s="14">
        <f>'2007'!$F54</f>
        <v>1.7702678311095066</v>
      </c>
      <c r="J58" s="14">
        <f>'2008'!$F54</f>
        <v>1.7358738142751702</v>
      </c>
      <c r="K58" s="14">
        <f>'2009'!$F54</f>
        <v>1.6286090043679429</v>
      </c>
      <c r="L58" s="14">
        <f>'2010'!$F54</f>
        <v>1.6451330905786876</v>
      </c>
      <c r="M58" s="14">
        <f>'2011'!$F54</f>
        <v>2.0261813051926945</v>
      </c>
      <c r="N58" s="14">
        <f>'2012'!$F54</f>
        <v>1.8994211287988423</v>
      </c>
      <c r="O58" s="14">
        <f>'2013'!$F54</f>
        <v>1.4347706828523805</v>
      </c>
      <c r="P58" s="14">
        <f>'2014'!$F54</f>
        <v>1.1256367328037615</v>
      </c>
      <c r="Q58" s="14">
        <f>'2015'!$F54</f>
        <v>1.1228514669046727</v>
      </c>
      <c r="R58" s="14">
        <f>'2016'!$F54</f>
        <v>1.4673996364353141</v>
      </c>
      <c r="S58" s="14">
        <f>'2017'!$F54</f>
        <v>1.4458329030259218</v>
      </c>
      <c r="T58" s="14">
        <f>'2018'!$F54</f>
        <v>2.2738756947953513</v>
      </c>
      <c r="U58" s="14">
        <f>'2019'!$F54</f>
        <v>3.1013068728240527</v>
      </c>
      <c r="V58" s="14">
        <f>'2020'!$F54</f>
        <v>1.0881230622466014</v>
      </c>
      <c r="W58" s="14">
        <f>'2021'!$F54</f>
        <v>1.4344643056226543</v>
      </c>
      <c r="X58" s="14">
        <f>'2022'!$F54</f>
        <v>1.3675721877438776</v>
      </c>
    </row>
    <row r="59" spans="2:24" ht="20.100000000000001" customHeight="1" thickBot="1" x14ac:dyDescent="0.25">
      <c r="B59" s="9" t="s">
        <v>73</v>
      </c>
      <c r="C59" s="14">
        <f>'2001'!$F55</f>
        <v>2.0629286499008641</v>
      </c>
      <c r="D59" s="14">
        <f>'2002'!$F55</f>
        <v>1.9779045555844244</v>
      </c>
      <c r="E59" s="14">
        <f>'2003'!$F55</f>
        <v>1.6995235296102462</v>
      </c>
      <c r="F59" s="14">
        <f>'2004'!$F55</f>
        <v>1.7264643808601181</v>
      </c>
      <c r="G59" s="14">
        <f>'2005'!$F55</f>
        <v>1.7567730202455136</v>
      </c>
      <c r="H59" s="14">
        <f>'2006'!$F55</f>
        <v>2.001241029339623</v>
      </c>
      <c r="I59" s="14">
        <f>'2007'!$F55</f>
        <v>2.0246364644062655</v>
      </c>
      <c r="J59" s="14">
        <f>'2008'!$F55</f>
        <v>2.8827086718501707</v>
      </c>
      <c r="K59" s="14">
        <f>'2009'!$F55</f>
        <v>2.6680780412827079</v>
      </c>
      <c r="L59" s="14">
        <f>'2010'!$F55</f>
        <v>2.3912579392199258</v>
      </c>
      <c r="M59" s="14">
        <f>'2011'!$F55</f>
        <v>2.7034593533755062</v>
      </c>
      <c r="N59" s="14">
        <f>'2012'!$F55</f>
        <v>2.2116677071206419</v>
      </c>
      <c r="O59" s="14">
        <f>'2013'!$F55</f>
        <v>1.8318051774685131</v>
      </c>
      <c r="P59" s="14">
        <f>'2014'!$F55</f>
        <v>1.8937660197729769</v>
      </c>
      <c r="Q59" s="14">
        <f>'2015'!$F55</f>
        <v>2.1013281489995976</v>
      </c>
      <c r="R59" s="14">
        <f>'2016'!$F55</f>
        <v>2.0604874308814649</v>
      </c>
      <c r="S59" s="14">
        <f>'2017'!$F55</f>
        <v>1.9844476378084592</v>
      </c>
      <c r="T59" s="14">
        <f>'2018'!$F55</f>
        <v>2.2199883326956567</v>
      </c>
      <c r="U59" s="14">
        <f>'2019'!$F55</f>
        <v>2.1601971089913707</v>
      </c>
      <c r="V59" s="14">
        <f>'2020'!$F55</f>
        <v>1.5104323559334558</v>
      </c>
      <c r="W59" s="14">
        <f>'2021'!$F55</f>
        <v>1.6915631876380561</v>
      </c>
      <c r="X59" s="14">
        <f>'2022'!$F55</f>
        <v>1.9326109418764794</v>
      </c>
    </row>
    <row r="60" spans="2:24" ht="20.100000000000001" customHeight="1" thickBot="1" x14ac:dyDescent="0.25">
      <c r="B60" s="9" t="s">
        <v>74</v>
      </c>
      <c r="C60" s="14">
        <f>'2001'!$F56</f>
        <v>1.8979242716092621</v>
      </c>
      <c r="D60" s="14">
        <f>'2002'!$F56</f>
        <v>1.7799314929241548</v>
      </c>
      <c r="E60" s="14">
        <f>'2003'!$F56</f>
        <v>1.9437166879929595</v>
      </c>
      <c r="F60" s="14">
        <f>'2004'!$F56</f>
        <v>2.5431140280781155</v>
      </c>
      <c r="G60" s="14">
        <f>'2005'!$F56</f>
        <v>2.4782465484964997</v>
      </c>
      <c r="H60" s="14">
        <f>'2006'!$F56</f>
        <v>3.3203549938463839</v>
      </c>
      <c r="I60" s="14">
        <f>'2007'!$F56</f>
        <v>3.5857876365935342</v>
      </c>
      <c r="J60" s="14">
        <f>'2008'!$F56</f>
        <v>3.4873264446610559</v>
      </c>
      <c r="K60" s="14">
        <f>'2009'!$F56</f>
        <v>4.3341479760903514</v>
      </c>
      <c r="L60" s="14">
        <f>'2010'!$F56</f>
        <v>3.8300801930304629</v>
      </c>
      <c r="M60" s="14">
        <f>'2011'!$F56</f>
        <v>3.1934460482123099</v>
      </c>
      <c r="N60" s="14">
        <f>'2012'!$F56</f>
        <v>2.5697537810098607</v>
      </c>
      <c r="O60" s="14">
        <f>'2013'!$F56</f>
        <v>2.2061396297020734</v>
      </c>
      <c r="P60" s="14">
        <f>'2014'!$F56</f>
        <v>2.1173856309667944</v>
      </c>
      <c r="Q60" s="14">
        <f>'2015'!$F56</f>
        <v>2.3103705203641707</v>
      </c>
      <c r="R60" s="14">
        <f>'2016'!$F56</f>
        <v>2.1220282171975864</v>
      </c>
      <c r="S60" s="14">
        <f>'2017'!$F56</f>
        <v>2.8799070494944909</v>
      </c>
      <c r="T60" s="14">
        <f>'2018'!$F56</f>
        <v>3.1707395566537651</v>
      </c>
      <c r="U60" s="14">
        <f>'2019'!$F56</f>
        <v>2.5928571094418826</v>
      </c>
      <c r="V60" s="14">
        <f>'2020'!$F56</f>
        <v>2.0213166144200625</v>
      </c>
      <c r="W60" s="14">
        <f>'2021'!$F56</f>
        <v>2.0024624301745018</v>
      </c>
      <c r="X60" s="14">
        <f>'2022'!$F56</f>
        <v>2.1217991497355282</v>
      </c>
    </row>
    <row r="61" spans="2:24" ht="20.100000000000001" customHeight="1" thickBot="1" x14ac:dyDescent="0.25">
      <c r="B61" s="9" t="s">
        <v>75</v>
      </c>
      <c r="C61" s="14">
        <f>'2001'!$F57</f>
        <v>2.0764678358345332</v>
      </c>
      <c r="D61" s="14">
        <f>'2002'!$F57</f>
        <v>1.8976089329292019</v>
      </c>
      <c r="E61" s="14">
        <f>'2003'!$F57</f>
        <v>1.8269728343952818</v>
      </c>
      <c r="F61" s="14">
        <f>'2004'!$F57</f>
        <v>1.7910868471586316</v>
      </c>
      <c r="G61" s="14">
        <f>'2005'!$F57</f>
        <v>2.1508760885531424</v>
      </c>
      <c r="H61" s="14">
        <f>'2006'!$F57</f>
        <v>3.3837330452249303</v>
      </c>
      <c r="I61" s="14">
        <f>'2007'!$F57</f>
        <v>2.971278282256101</v>
      </c>
      <c r="J61" s="14">
        <f>'2008'!$F57</f>
        <v>4.2153495432111132</v>
      </c>
      <c r="K61" s="14">
        <f>'2009'!$F57</f>
        <v>4.7767920011266014</v>
      </c>
      <c r="L61" s="14">
        <f>'2010'!$F57</f>
        <v>5.9159733153436775</v>
      </c>
      <c r="M61" s="14">
        <f>'2011'!$F57</f>
        <v>4.0813350433933975</v>
      </c>
      <c r="N61" s="14">
        <f>'2012'!$F57</f>
        <v>3.0040428239874224</v>
      </c>
      <c r="O61" s="14">
        <f>'2013'!$F57</f>
        <v>3.0002780470575861</v>
      </c>
      <c r="P61" s="14">
        <f>'2014'!$F57</f>
        <v>2.5247705312412005</v>
      </c>
      <c r="Q61" s="14">
        <f>'2015'!$F57</f>
        <v>2.4321284163803849</v>
      </c>
      <c r="R61" s="14">
        <f>'2016'!$F57</f>
        <v>2.2341930839311868</v>
      </c>
      <c r="S61" s="14">
        <f>'2017'!$F57</f>
        <v>2.0589872008903729</v>
      </c>
      <c r="T61" s="14">
        <f>'2018'!$F57</f>
        <v>2.2564157806756167</v>
      </c>
      <c r="U61" s="14">
        <f>'2019'!$F57</f>
        <v>2.6176700426911186</v>
      </c>
      <c r="V61" s="14">
        <f>'2020'!$F57</f>
        <v>1.793914902362244</v>
      </c>
      <c r="W61" s="14">
        <f>'2021'!$F57</f>
        <v>2.4491634912902587</v>
      </c>
      <c r="X61" s="14">
        <f>'2022'!$F57</f>
        <v>2.3182333675420375</v>
      </c>
    </row>
    <row r="62" spans="2:24" ht="20.100000000000001" customHeight="1" thickBot="1" x14ac:dyDescent="0.25">
      <c r="B62" s="9" t="s">
        <v>76</v>
      </c>
      <c r="C62" s="14">
        <f>'2001'!$F58</f>
        <v>1.6060803732036608</v>
      </c>
      <c r="D62" s="14">
        <f>'2002'!$F58</f>
        <v>1.3853038200500303</v>
      </c>
      <c r="E62" s="14">
        <f>'2003'!$F58</f>
        <v>1.3370858539321342</v>
      </c>
      <c r="F62" s="14">
        <f>'2004'!$F58</f>
        <v>1.5816727448570451</v>
      </c>
      <c r="G62" s="14">
        <f>'2005'!$F58</f>
        <v>2.9740715493953394</v>
      </c>
      <c r="H62" s="14">
        <f>'2006'!$F58</f>
        <v>1.6709537601523099</v>
      </c>
      <c r="I62" s="14">
        <f>'2007'!$F58</f>
        <v>1.7288845399189807</v>
      </c>
      <c r="J62" s="14">
        <f>'2008'!$F58</f>
        <v>2.6924110515614461</v>
      </c>
      <c r="K62" s="14">
        <f>'2009'!$F58</f>
        <v>3.8841898142232898</v>
      </c>
      <c r="L62" s="14">
        <f>'2010'!$F58</f>
        <v>3.6712080488533267</v>
      </c>
      <c r="M62" s="14">
        <f>'2011'!$F58</f>
        <v>2.7665306671217222</v>
      </c>
      <c r="N62" s="14">
        <f>'2012'!$F58</f>
        <v>2.2180239233450929</v>
      </c>
      <c r="O62" s="14">
        <f>'2013'!$F58</f>
        <v>1.9546396133212938</v>
      </c>
      <c r="P62" s="14">
        <f>'2014'!$F58</f>
        <v>2.8689762284826781</v>
      </c>
      <c r="Q62" s="14">
        <f>'2015'!$F58</f>
        <v>2.3877537669813997</v>
      </c>
      <c r="R62" s="14">
        <f>'2016'!$F58</f>
        <v>1.8735518774320143</v>
      </c>
      <c r="S62" s="14">
        <f>'2017'!$F58</f>
        <v>2.0067191269644424</v>
      </c>
      <c r="T62" s="14">
        <f>'2018'!$F58</f>
        <v>1.8504832453924112</v>
      </c>
      <c r="U62" s="14">
        <f>'2019'!$F58</f>
        <v>1.9242026440398983</v>
      </c>
      <c r="V62" s="14">
        <f>'2020'!$F58</f>
        <v>1.8993129645696063</v>
      </c>
      <c r="W62" s="14">
        <f>'2021'!$F58</f>
        <v>2.0447473699807377</v>
      </c>
      <c r="X62" s="14">
        <f>'2022'!$F58</f>
        <v>1.9025040746777302</v>
      </c>
    </row>
    <row r="63" spans="2:24" ht="20.100000000000001" customHeight="1" thickBot="1" x14ac:dyDescent="0.25">
      <c r="B63" s="9" t="s">
        <v>77</v>
      </c>
      <c r="C63" s="14">
        <f>'2001'!$F59</f>
        <v>1.2547153860057254</v>
      </c>
      <c r="D63" s="14">
        <f>'2002'!$F59</f>
        <v>1.3303352008530676</v>
      </c>
      <c r="E63" s="14">
        <f>'2003'!$F59</f>
        <v>2.7644020460892742</v>
      </c>
      <c r="F63" s="14">
        <f>'2004'!$F59</f>
        <v>2.4304897754499359</v>
      </c>
      <c r="G63" s="14">
        <f>'2005'!$F59</f>
        <v>2.2542080011227186</v>
      </c>
      <c r="H63" s="14">
        <f>'2006'!$F59</f>
        <v>3.3032155658855231</v>
      </c>
      <c r="I63" s="14">
        <f>'2007'!$F59</f>
        <v>2.6530774196730946</v>
      </c>
      <c r="J63" s="14">
        <f>'2008'!$F59</f>
        <v>2.5467826065110963</v>
      </c>
      <c r="K63" s="14">
        <f>'2009'!$F59</f>
        <v>2.8619630985053277</v>
      </c>
      <c r="L63" s="14">
        <f>'2010'!$F59</f>
        <v>2.785506734124358</v>
      </c>
      <c r="M63" s="14">
        <f>'2011'!$F59</f>
        <v>2.8089281586314949</v>
      </c>
      <c r="N63" s="14">
        <f>'2012'!$F59</f>
        <v>1.9302137752650466</v>
      </c>
      <c r="O63" s="14">
        <f>'2013'!$F59</f>
        <v>1.59098665696611</v>
      </c>
      <c r="P63" s="14">
        <f>'2014'!$F59</f>
        <v>1.7133435613173893</v>
      </c>
      <c r="Q63" s="14">
        <f>'2015'!$F59</f>
        <v>1.8336704999759417</v>
      </c>
      <c r="R63" s="14">
        <f>'2016'!$F59</f>
        <v>2.0557449866229289</v>
      </c>
      <c r="S63" s="14">
        <f>'2017'!$F59</f>
        <v>2.1112003742058087</v>
      </c>
      <c r="T63" s="14">
        <f>'2018'!$F59</f>
        <v>2.3376354063788538</v>
      </c>
      <c r="U63" s="14">
        <f>'2019'!$F59</f>
        <v>2.2587496747669982</v>
      </c>
      <c r="V63" s="14">
        <f>'2020'!$F59</f>
        <v>1.5855584620699865</v>
      </c>
      <c r="W63" s="14">
        <f>'2021'!$F59</f>
        <v>2.0652187395343646</v>
      </c>
      <c r="X63" s="14">
        <f>'2022'!$F59</f>
        <v>1.6889726828824583</v>
      </c>
    </row>
    <row r="64" spans="2:24" ht="20.100000000000001" customHeight="1" thickBot="1" x14ac:dyDescent="0.25">
      <c r="B64" s="9" t="s">
        <v>78</v>
      </c>
      <c r="C64" s="14">
        <f>'2001'!$F60</f>
        <v>3.553782334134806</v>
      </c>
      <c r="D64" s="14">
        <f>'2002'!$F60</f>
        <v>2.363693665300977</v>
      </c>
      <c r="E64" s="14">
        <f>'2003'!$F60</f>
        <v>1.9618048604716338</v>
      </c>
      <c r="F64" s="14">
        <f>'2004'!$F60</f>
        <v>5.545583625793661</v>
      </c>
      <c r="G64" s="14">
        <f>'2005'!$F60</f>
        <v>8.3160635527923894</v>
      </c>
      <c r="H64" s="14">
        <f>'2006'!$F60</f>
        <v>7.1578281330327833</v>
      </c>
      <c r="I64" s="14">
        <f>'2007'!$F60</f>
        <v>15.573802592587757</v>
      </c>
      <c r="J64" s="14">
        <f>'2008'!$F60</f>
        <v>8.1019266303996691</v>
      </c>
      <c r="K64" s="14">
        <f>'2009'!$F60</f>
        <v>7.0671378091872787</v>
      </c>
      <c r="L64" s="14">
        <f>'2010'!$F60</f>
        <v>7.4461087876493872</v>
      </c>
      <c r="M64" s="14">
        <f>'2011'!$F60</f>
        <v>9.6387297271049821</v>
      </c>
      <c r="N64" s="14">
        <f>'2012'!$F60</f>
        <v>12.437810945273633</v>
      </c>
      <c r="O64" s="14">
        <f>'2013'!$F60</f>
        <v>8.2442385364694708</v>
      </c>
      <c r="P64" s="14">
        <f>'2014'!$F60</f>
        <v>17.372267928392361</v>
      </c>
      <c r="Q64" s="14">
        <f>'2015'!$F60</f>
        <v>18.560934217865494</v>
      </c>
      <c r="R64" s="14">
        <f>'2016'!$F60</f>
        <v>17.061252499437998</v>
      </c>
      <c r="S64" s="14">
        <f>'2017'!$F60</f>
        <v>17.208300474346451</v>
      </c>
      <c r="T64" s="14">
        <f>'2018'!$F60</f>
        <v>22.679225782204266</v>
      </c>
      <c r="U64" s="14">
        <f>'2019'!$F60</f>
        <v>21.515269471672742</v>
      </c>
      <c r="V64" s="14">
        <f>'2020'!$F60</f>
        <v>8.8715232417282248</v>
      </c>
      <c r="W64" s="14">
        <f>'2021'!$F60</f>
        <v>6.1185147933953568</v>
      </c>
      <c r="X64" s="14">
        <f>'2022'!$F60</f>
        <v>11.099536621286683</v>
      </c>
    </row>
    <row r="65" spans="2:24" ht="20.100000000000001" customHeight="1" thickBot="1" x14ac:dyDescent="0.25">
      <c r="B65" s="9" t="s">
        <v>79</v>
      </c>
      <c r="C65" s="14">
        <f>'2001'!$F61</f>
        <v>8.1408364709473897</v>
      </c>
      <c r="D65" s="14">
        <f>'2002'!$F61</f>
        <v>2.5439407955596671</v>
      </c>
      <c r="E65" s="14">
        <f>'2003'!$F61</f>
        <v>2.0449001650526561</v>
      </c>
      <c r="F65" s="14">
        <f>'2004'!$F61</f>
        <v>13.614443660315219</v>
      </c>
      <c r="G65" s="14">
        <f>'2005'!$F61</f>
        <v>21.668091864158317</v>
      </c>
      <c r="H65" s="14">
        <f>'2006'!$F61</f>
        <v>31.23925169355924</v>
      </c>
      <c r="I65" s="14">
        <f>'2007'!$F61</f>
        <v>22.753456221198157</v>
      </c>
      <c r="J65" s="14">
        <f>'2008'!$F61</f>
        <v>25.738998992274102</v>
      </c>
      <c r="K65" s="14">
        <f>'2009'!$F61</f>
        <v>26.599509937380887</v>
      </c>
      <c r="L65" s="14">
        <f>'2010'!$F61</f>
        <v>19.688560380882237</v>
      </c>
      <c r="M65" s="14">
        <f>'2011'!$F61</f>
        <v>15.112900759467863</v>
      </c>
      <c r="N65" s="14">
        <f>'2012'!$F61</f>
        <v>17.7965891933368</v>
      </c>
      <c r="O65" s="14">
        <f>'2013'!$F61</f>
        <v>15.953823539956263</v>
      </c>
      <c r="P65" s="14">
        <f>'2014'!$F61</f>
        <v>24.494432545646024</v>
      </c>
      <c r="Q65" s="14">
        <f>'2015'!$F61</f>
        <v>21.043653019255935</v>
      </c>
      <c r="R65" s="14">
        <f>'2016'!$F61</f>
        <v>9.3111384930137397</v>
      </c>
      <c r="S65" s="14">
        <f>'2017'!$F61</f>
        <v>13.678588016720854</v>
      </c>
      <c r="T65" s="14">
        <f>'2018'!$F61</f>
        <v>14.794406371550286</v>
      </c>
      <c r="U65" s="14">
        <f>'2019'!$F61</f>
        <v>15.065848046527224</v>
      </c>
      <c r="V65" s="14">
        <f>'2020'!$F61</f>
        <v>18.099131792916531</v>
      </c>
      <c r="W65" s="14">
        <f>'2021'!$F61</f>
        <v>12.70562594915431</v>
      </c>
      <c r="X65" s="14">
        <f>'2022'!$F61</f>
        <v>5.4833586441149533</v>
      </c>
    </row>
    <row r="66" spans="2:24" ht="20.100000000000001" customHeight="1" thickBot="1" x14ac:dyDescent="0.25">
      <c r="B66" s="12" t="s">
        <v>6</v>
      </c>
      <c r="C66" s="15">
        <f>'2001'!$F62</f>
        <v>4.030521943895546</v>
      </c>
      <c r="D66" s="15">
        <f>'2002'!$F62</f>
        <v>4.1839398720247551</v>
      </c>
      <c r="E66" s="15">
        <f>'2003'!$F62</f>
        <v>4.3631242821350762</v>
      </c>
      <c r="F66" s="15">
        <f>'2004'!$F62</f>
        <v>4.6701963311449859</v>
      </c>
      <c r="G66" s="15">
        <f>'2005'!$F62</f>
        <v>4.708738693775067</v>
      </c>
      <c r="H66" s="15">
        <f>'2006'!$F62</f>
        <v>5.390219198038861</v>
      </c>
      <c r="I66" s="15">
        <f>'2007'!$F62</f>
        <v>5.7113769238651138</v>
      </c>
      <c r="J66" s="15">
        <f>'2008'!$F62</f>
        <v>6.5954893368420411</v>
      </c>
      <c r="K66" s="15">
        <f>'2009'!$F62</f>
        <v>6.8095658579684528</v>
      </c>
      <c r="L66" s="15">
        <f>'2010'!$F62</f>
        <v>6.1727687278735708</v>
      </c>
      <c r="M66" s="15">
        <f>'2011'!$F62</f>
        <v>6.2253752952516752</v>
      </c>
      <c r="N66" s="15">
        <f>'2012'!$F62</f>
        <v>4.8538684035336841</v>
      </c>
      <c r="O66" s="15">
        <f>'2013'!$F62</f>
        <v>4.1085514401616834</v>
      </c>
      <c r="P66" s="15">
        <f>'2014'!$F62</f>
        <v>4.4393715967308518</v>
      </c>
      <c r="Q66" s="15">
        <f>'2015'!$F62</f>
        <v>4.2676379943267362</v>
      </c>
      <c r="R66" s="15">
        <f>'2016'!$F62</f>
        <v>4.2123044742722966</v>
      </c>
      <c r="S66" s="15">
        <f>'2017'!$F62</f>
        <v>4.2071941220127087</v>
      </c>
      <c r="T66" s="15">
        <f>'2018'!$F62</f>
        <v>4.4672664286396122</v>
      </c>
      <c r="U66" s="15">
        <f>'2019'!$F62</f>
        <v>5.3027239619235305</v>
      </c>
      <c r="V66" s="15">
        <f>'2020'!$F62</f>
        <v>4.092744916075695</v>
      </c>
      <c r="W66" s="15">
        <f>'2021'!$F62</f>
        <v>4.7403501695163417</v>
      </c>
      <c r="X66" s="15">
        <f>'2022'!$F62</f>
        <v>4.6272977710064049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4"/>
  <dimension ref="A1:X66"/>
  <sheetViews>
    <sheetView workbookViewId="0"/>
  </sheetViews>
  <sheetFormatPr baseColWidth="10" defaultColWidth="11.42578125" defaultRowHeight="12.75" x14ac:dyDescent="0.2"/>
  <cols>
    <col min="1" max="1" width="6" style="1" customWidth="1"/>
    <col min="2" max="2" width="32.140625" style="1" bestFit="1" customWidth="1"/>
    <col min="3" max="23" width="7.5703125" style="1" bestFit="1" customWidth="1"/>
    <col min="24" max="24" width="7" style="1" bestFit="1" customWidth="1"/>
    <col min="25" max="16384" width="11.42578125" style="1"/>
  </cols>
  <sheetData>
    <row r="1" spans="1:24" ht="15" thickBot="1" x14ac:dyDescent="0.25">
      <c r="A1" s="14"/>
    </row>
    <row r="12" spans="1:24" ht="13.5" thickBot="1" x14ac:dyDescent="0.25"/>
    <row r="13" spans="1:24" ht="20.100000000000001" customHeight="1" thickBot="1" x14ac:dyDescent="0.25">
      <c r="B13" s="10"/>
      <c r="C13" s="10">
        <v>2001</v>
      </c>
      <c r="D13" s="10">
        <v>2002</v>
      </c>
      <c r="E13" s="10">
        <v>2003</v>
      </c>
      <c r="F13" s="10">
        <v>2004</v>
      </c>
      <c r="G13" s="10">
        <v>2005</v>
      </c>
      <c r="H13" s="10">
        <v>2006</v>
      </c>
      <c r="I13" s="10">
        <v>2007</v>
      </c>
      <c r="J13" s="10">
        <v>2008</v>
      </c>
      <c r="K13" s="10">
        <v>2009</v>
      </c>
      <c r="L13" s="10">
        <v>2010</v>
      </c>
      <c r="M13" s="10">
        <v>2011</v>
      </c>
      <c r="N13" s="10">
        <v>2012</v>
      </c>
      <c r="O13" s="10">
        <v>2013</v>
      </c>
      <c r="P13" s="10">
        <v>2014</v>
      </c>
      <c r="Q13" s="10">
        <v>2015</v>
      </c>
      <c r="R13" s="10">
        <v>2016</v>
      </c>
      <c r="S13" s="10">
        <v>2017</v>
      </c>
      <c r="T13" s="10">
        <v>2018</v>
      </c>
      <c r="U13" s="10">
        <v>2019</v>
      </c>
      <c r="V13" s="10">
        <v>2020</v>
      </c>
      <c r="W13" s="10">
        <v>2021</v>
      </c>
      <c r="X13" s="10">
        <v>2022</v>
      </c>
    </row>
    <row r="14" spans="1:24" ht="20.100000000000001" customHeight="1" thickBot="1" x14ac:dyDescent="0.25">
      <c r="B14" s="9" t="s">
        <v>31</v>
      </c>
      <c r="C14" s="14">
        <f>'2001'!$G10</f>
        <v>5.0859963570325881</v>
      </c>
      <c r="D14" s="14">
        <f>'2002'!$G10</f>
        <v>7.6656795423185855</v>
      </c>
      <c r="E14" s="14">
        <f>'2003'!$G10</f>
        <v>5.5264024474447364</v>
      </c>
      <c r="F14" s="14">
        <f>'2004'!$G10</f>
        <v>5.3340642196032126</v>
      </c>
      <c r="G14" s="14">
        <f>'2005'!$G10</f>
        <v>5.2776622296173041</v>
      </c>
      <c r="H14" s="14">
        <f>'2006'!$G10</f>
        <v>6.7533753979022739</v>
      </c>
      <c r="I14" s="14">
        <f>'2007'!$G10</f>
        <v>6.3298564178419321</v>
      </c>
      <c r="J14" s="14">
        <f>'2008'!$G10</f>
        <v>6.4202388469734055</v>
      </c>
      <c r="K14" s="14">
        <f>'2009'!$G10</f>
        <v>8.4411972331631286</v>
      </c>
      <c r="L14" s="14">
        <f>'2010'!$G10</f>
        <v>7.3889295512370481</v>
      </c>
      <c r="M14" s="14">
        <f>'2011'!$G10</f>
        <v>7.7451170467142907</v>
      </c>
      <c r="N14" s="14">
        <f>'2012'!$G10</f>
        <v>9.658993587977271</v>
      </c>
      <c r="O14" s="14">
        <f>'2013'!$G10</f>
        <v>11.179804353423814</v>
      </c>
      <c r="P14" s="14">
        <f>'2014'!$G10</f>
        <v>8.5972588523049875</v>
      </c>
      <c r="Q14" s="14">
        <f>'2015'!$G10</f>
        <v>6.4245526889350701</v>
      </c>
      <c r="R14" s="14">
        <f>'2016'!$G10</f>
        <v>6.6842124054493803</v>
      </c>
      <c r="S14" s="14">
        <f>'2017'!$G10</f>
        <v>6.9942979037617423</v>
      </c>
      <c r="T14" s="14">
        <f>'2018'!$G10</f>
        <v>6.7492142206766701</v>
      </c>
      <c r="U14" s="14">
        <f>'2019'!$G10</f>
        <v>7.6874128918738576</v>
      </c>
      <c r="V14" s="14">
        <f>'2020'!$G10</f>
        <v>6.8715069410461789</v>
      </c>
      <c r="W14" s="14">
        <f>'2021'!$G10</f>
        <v>7.3150409870000823</v>
      </c>
      <c r="X14" s="14">
        <f>'2022'!$G10</f>
        <v>7.3253912395462457</v>
      </c>
    </row>
    <row r="15" spans="1:24" ht="20.100000000000001" customHeight="1" thickBot="1" x14ac:dyDescent="0.25">
      <c r="B15" s="9" t="s">
        <v>32</v>
      </c>
      <c r="C15" s="14">
        <f>'2001'!$G11</f>
        <v>4.8192771084337354</v>
      </c>
      <c r="D15" s="14">
        <f>'2002'!$G11</f>
        <v>4.8422047179402918</v>
      </c>
      <c r="E15" s="14">
        <f>'2003'!$G11</f>
        <v>5.1784269172830069</v>
      </c>
      <c r="F15" s="14">
        <f>'2004'!$G11</f>
        <v>5.9437309901993913</v>
      </c>
      <c r="G15" s="14">
        <f>'2005'!$G11</f>
        <v>5.7365868751186948</v>
      </c>
      <c r="H15" s="14">
        <f>'2006'!$G11</f>
        <v>5.404935648185786</v>
      </c>
      <c r="I15" s="14">
        <f>'2007'!$G11</f>
        <v>4.9055917390580213</v>
      </c>
      <c r="J15" s="14">
        <f>'2008'!$G11</f>
        <v>6.3125271943565799</v>
      </c>
      <c r="K15" s="14">
        <f>'2009'!$G11</f>
        <v>8.8424068289609039</v>
      </c>
      <c r="L15" s="14">
        <f>'2010'!$G11</f>
        <v>6.8608746888440706</v>
      </c>
      <c r="M15" s="14">
        <f>'2011'!$G11</f>
        <v>6.1640212871233375</v>
      </c>
      <c r="N15" s="14">
        <f>'2012'!$G11</f>
        <v>6.8758327288814813</v>
      </c>
      <c r="O15" s="14">
        <f>'2013'!$G11</f>
        <v>6.3444354100086242</v>
      </c>
      <c r="P15" s="14">
        <f>'2014'!$G11</f>
        <v>6.2383659505961662</v>
      </c>
      <c r="Q15" s="14">
        <f>'2015'!$G11</f>
        <v>6.0192544986730789</v>
      </c>
      <c r="R15" s="14">
        <f>'2016'!$G11</f>
        <v>5.4681318777059547</v>
      </c>
      <c r="S15" s="14">
        <f>'2017'!$G11</f>
        <v>5.5058477033219155</v>
      </c>
      <c r="T15" s="14">
        <f>'2018'!$G11</f>
        <v>5.926630081590412</v>
      </c>
      <c r="U15" s="14">
        <f>'2019'!$G11</f>
        <v>6.4938453733100268</v>
      </c>
      <c r="V15" s="14">
        <f>'2020'!$G11</f>
        <v>6.1562178172316644</v>
      </c>
      <c r="W15" s="14">
        <f>'2021'!$G11</f>
        <v>6.8648426315336373</v>
      </c>
      <c r="X15" s="14">
        <f>'2022'!$G11</f>
        <v>6.3121691265951805</v>
      </c>
    </row>
    <row r="16" spans="1:24" ht="20.100000000000001" customHeight="1" thickBot="1" x14ac:dyDescent="0.25">
      <c r="B16" s="9" t="s">
        <v>33</v>
      </c>
      <c r="C16" s="14">
        <f>'2001'!$G12</f>
        <v>5.876196620952495</v>
      </c>
      <c r="D16" s="14">
        <f>'2002'!$G12</f>
        <v>6.4904171652961216</v>
      </c>
      <c r="E16" s="14">
        <f>'2003'!$G12</f>
        <v>7.0969910314694591</v>
      </c>
      <c r="F16" s="14">
        <f>'2004'!$G12</f>
        <v>5.8905972827745288</v>
      </c>
      <c r="G16" s="14">
        <f>'2005'!$G12</f>
        <v>5.5461649641116093</v>
      </c>
      <c r="H16" s="14">
        <f>'2006'!$G12</f>
        <v>5.6192498230714785</v>
      </c>
      <c r="I16" s="14">
        <f>'2007'!$G12</f>
        <v>5.5054412626636742</v>
      </c>
      <c r="J16" s="14">
        <f>'2008'!$G12</f>
        <v>8.2694885678551895</v>
      </c>
      <c r="K16" s="14">
        <f>'2009'!$G12</f>
        <v>9.1697276257769271</v>
      </c>
      <c r="L16" s="14">
        <f>'2010'!$G12</f>
        <v>8.0352521709126474</v>
      </c>
      <c r="M16" s="14">
        <f>'2011'!$G12</f>
        <v>7.9579521896818388</v>
      </c>
      <c r="N16" s="14">
        <f>'2012'!$G12</f>
        <v>8.0074522272190887</v>
      </c>
      <c r="O16" s="14">
        <f>'2013'!$G12</f>
        <v>8.8256028278535563</v>
      </c>
      <c r="P16" s="14">
        <f>'2014'!$G12</f>
        <v>7.0729441005119078</v>
      </c>
      <c r="Q16" s="14">
        <f>'2015'!$G12</f>
        <v>7.1290952366691345</v>
      </c>
      <c r="R16" s="14">
        <f>'2016'!$G12</f>
        <v>6.5015185355041982</v>
      </c>
      <c r="S16" s="14">
        <f>'2017'!$G12</f>
        <v>7.7164511965947424</v>
      </c>
      <c r="T16" s="14">
        <f>'2018'!$G12</f>
        <v>7.7945695999097753</v>
      </c>
      <c r="U16" s="14">
        <f>'2019'!$G12</f>
        <v>8.3437962110432178</v>
      </c>
      <c r="V16" s="14">
        <f>'2020'!$G12</f>
        <v>7.7876762667509221</v>
      </c>
      <c r="W16" s="14">
        <f>'2021'!$G12</f>
        <v>8.7169578240811596</v>
      </c>
      <c r="X16" s="14">
        <f>'2022'!$G12</f>
        <v>9.4248092354111552</v>
      </c>
    </row>
    <row r="17" spans="2:24" ht="20.100000000000001" customHeight="1" thickBot="1" x14ac:dyDescent="0.25">
      <c r="B17" s="9" t="s">
        <v>34</v>
      </c>
      <c r="C17" s="14">
        <f>'2001'!$G13</f>
        <v>6.1601216095957998</v>
      </c>
      <c r="D17" s="14">
        <f>'2002'!$G13</f>
        <v>7.3048721989995204</v>
      </c>
      <c r="E17" s="14">
        <f>'2003'!$G13</f>
        <v>8.1328984916428855</v>
      </c>
      <c r="F17" s="14">
        <f>'2004'!$G13</f>
        <v>6.6372653385377065</v>
      </c>
      <c r="G17" s="14">
        <f>'2005'!$G13</f>
        <v>7.2577069379944463</v>
      </c>
      <c r="H17" s="14">
        <f>'2006'!$G13</f>
        <v>6.233315448156171</v>
      </c>
      <c r="I17" s="14">
        <f>'2007'!$G13</f>
        <v>8.1254767415594245</v>
      </c>
      <c r="J17" s="14">
        <f>'2008'!$G13</f>
        <v>9.9827215915513428</v>
      </c>
      <c r="K17" s="14">
        <f>'2009'!$G13</f>
        <v>11.152925731074282</v>
      </c>
      <c r="L17" s="14">
        <f>'2010'!$G13</f>
        <v>9.3681464115556228</v>
      </c>
      <c r="M17" s="14">
        <f>'2011'!$G13</f>
        <v>9.6702346606020164</v>
      </c>
      <c r="N17" s="14">
        <f>'2012'!$G13</f>
        <v>10.819793090833558</v>
      </c>
      <c r="O17" s="14">
        <f>'2013'!$G13</f>
        <v>13.067137083601677</v>
      </c>
      <c r="P17" s="14">
        <f>'2014'!$G13</f>
        <v>10.961942273523603</v>
      </c>
      <c r="Q17" s="14">
        <f>'2015'!$G13</f>
        <v>9.1982647814910035</v>
      </c>
      <c r="R17" s="14">
        <f>'2016'!$G13</f>
        <v>8.4750991898212416</v>
      </c>
      <c r="S17" s="14">
        <f>'2017'!$G13</f>
        <v>9.7007110180234797</v>
      </c>
      <c r="T17" s="14">
        <f>'2018'!$G13</f>
        <v>8.9367162508970157</v>
      </c>
      <c r="U17" s="14">
        <f>'2019'!$G13</f>
        <v>9.1087591879330052</v>
      </c>
      <c r="V17" s="14">
        <f>'2020'!$G13</f>
        <v>9.4957177936156203</v>
      </c>
      <c r="W17" s="14">
        <f>'2021'!$G13</f>
        <v>11.372015370504696</v>
      </c>
      <c r="X17" s="14">
        <f>'2022'!$G13</f>
        <v>9.7084759581087816</v>
      </c>
    </row>
    <row r="18" spans="2:24" ht="20.100000000000001" customHeight="1" thickBot="1" x14ac:dyDescent="0.25">
      <c r="B18" s="9" t="s">
        <v>35</v>
      </c>
      <c r="C18" s="14">
        <f>'2001'!$G14</f>
        <v>10.299173555256113</v>
      </c>
      <c r="D18" s="14">
        <f>'2002'!$G14</f>
        <v>14.236883491267454</v>
      </c>
      <c r="E18" s="14">
        <f>'2003'!$G14</f>
        <v>12.67736737026226</v>
      </c>
      <c r="F18" s="14">
        <f>'2004'!$G14</f>
        <v>11.537018014250844</v>
      </c>
      <c r="G18" s="14">
        <f>'2005'!$G14</f>
        <v>10.732513804585583</v>
      </c>
      <c r="H18" s="14">
        <f>'2006'!$G14</f>
        <v>10.8515585534722</v>
      </c>
      <c r="I18" s="14">
        <f>'2007'!$G14</f>
        <v>9.0151107770113743</v>
      </c>
      <c r="J18" s="14">
        <f>'2008'!$G14</f>
        <v>10.805100829708795</v>
      </c>
      <c r="K18" s="14">
        <f>'2009'!$G14</f>
        <v>11.924012866618938</v>
      </c>
      <c r="L18" s="14">
        <f>'2010'!$G14</f>
        <v>11.324850761891323</v>
      </c>
      <c r="M18" s="14">
        <f>'2011'!$G14</f>
        <v>11.155011572029991</v>
      </c>
      <c r="N18" s="14">
        <f>'2012'!$G14</f>
        <v>11.760228707210217</v>
      </c>
      <c r="O18" s="14">
        <f>'2013'!$G14</f>
        <v>12.872543099614759</v>
      </c>
      <c r="P18" s="14">
        <f>'2014'!$G14</f>
        <v>12.559382758373863</v>
      </c>
      <c r="Q18" s="14">
        <f>'2015'!$G14</f>
        <v>11.599756095008795</v>
      </c>
      <c r="R18" s="14">
        <f>'2016'!$G14</f>
        <v>10.112141859644277</v>
      </c>
      <c r="S18" s="14">
        <f>'2017'!$G14</f>
        <v>11.001391358120122</v>
      </c>
      <c r="T18" s="14">
        <f>'2018'!$G14</f>
        <v>10.836921975717825</v>
      </c>
      <c r="U18" s="14">
        <f>'2019'!$G14</f>
        <v>10.307978099335159</v>
      </c>
      <c r="V18" s="14">
        <f>'2020'!$G14</f>
        <v>8.9116044225272475</v>
      </c>
      <c r="W18" s="14">
        <f>'2021'!$G14</f>
        <v>11.320508563024811</v>
      </c>
      <c r="X18" s="14">
        <f>'2022'!$G14</f>
        <v>10.523902145895599</v>
      </c>
    </row>
    <row r="19" spans="2:24" ht="20.100000000000001" customHeight="1" thickBot="1" x14ac:dyDescent="0.25">
      <c r="B19" s="9" t="s">
        <v>36</v>
      </c>
      <c r="C19" s="14">
        <f>'2001'!$G15</f>
        <v>2.1600512554535189</v>
      </c>
      <c r="D19" s="14">
        <f>'2002'!$G15</f>
        <v>2.5736051060325305</v>
      </c>
      <c r="E19" s="14">
        <f>'2003'!$G15</f>
        <v>2.2600918540004833</v>
      </c>
      <c r="F19" s="14">
        <f>'2004'!$G15</f>
        <v>1.7940135333638356</v>
      </c>
      <c r="G19" s="14">
        <f>'2005'!$G15</f>
        <v>2.4546194741127452</v>
      </c>
      <c r="H19" s="14">
        <f>'2006'!$G15</f>
        <v>2.2047694526212922</v>
      </c>
      <c r="I19" s="14">
        <f>'2007'!$G15</f>
        <v>2.1703293445130991</v>
      </c>
      <c r="J19" s="14">
        <f>'2008'!$G15</f>
        <v>2.2989843727264789</v>
      </c>
      <c r="K19" s="14">
        <f>'2009'!$G15</f>
        <v>2.6561043802423114</v>
      </c>
      <c r="L19" s="14">
        <f>'2010'!$G15</f>
        <v>2.8738306883231721</v>
      </c>
      <c r="M19" s="14">
        <f>'2011'!$G15</f>
        <v>3.0630442838614043</v>
      </c>
      <c r="N19" s="14">
        <f>'2012'!$G15</f>
        <v>3.585087437596707</v>
      </c>
      <c r="O19" s="14">
        <f>'2013'!$G15</f>
        <v>4.0159928920479784</v>
      </c>
      <c r="P19" s="14">
        <f>'2014'!$G15</f>
        <v>3.5266293446696402</v>
      </c>
      <c r="Q19" s="14">
        <f>'2015'!$G15</f>
        <v>3.7956646960739731</v>
      </c>
      <c r="R19" s="14">
        <f>'2016'!$G15</f>
        <v>3.5504633446964569</v>
      </c>
      <c r="S19" s="14">
        <f>'2017'!$G15</f>
        <v>4.0074673304293711</v>
      </c>
      <c r="T19" s="14">
        <f>'2018'!$G15</f>
        <v>4.1073073477267847</v>
      </c>
      <c r="U19" s="14">
        <f>'2019'!$G15</f>
        <v>3.8315148439482365</v>
      </c>
      <c r="V19" s="14">
        <f>'2020'!$G15</f>
        <v>3.8689872133143899</v>
      </c>
      <c r="W19" s="14">
        <f>'2021'!$G15</f>
        <v>5.725251071511984</v>
      </c>
      <c r="X19" s="14">
        <f>'2022'!$G15</f>
        <v>5.3906994653486597</v>
      </c>
    </row>
    <row r="20" spans="2:24" ht="20.100000000000001" customHeight="1" thickBot="1" x14ac:dyDescent="0.25">
      <c r="B20" s="9" t="s">
        <v>37</v>
      </c>
      <c r="C20" s="14">
        <f>'2001'!$G16</f>
        <v>5.1622052507260054</v>
      </c>
      <c r="D20" s="14">
        <f>'2002'!$G16</f>
        <v>4.3195012733702676</v>
      </c>
      <c r="E20" s="14">
        <f>'2003'!$G16</f>
        <v>3.8966013312382568</v>
      </c>
      <c r="F20" s="14">
        <f>'2004'!$G16</f>
        <v>4.4434670490558759</v>
      </c>
      <c r="G20" s="14">
        <f>'2005'!$G16</f>
        <v>3.8984118850169596</v>
      </c>
      <c r="H20" s="14">
        <f>'2006'!$G16</f>
        <v>3.8680038130647953</v>
      </c>
      <c r="I20" s="14">
        <f>'2007'!$G16</f>
        <v>3.655342474637377</v>
      </c>
      <c r="J20" s="14">
        <f>'2008'!$G16</f>
        <v>4.156171652224165</v>
      </c>
      <c r="K20" s="14">
        <f>'2009'!$G16</f>
        <v>5.2411738487202673</v>
      </c>
      <c r="L20" s="14">
        <f>'2010'!$G16</f>
        <v>4.5699045131238467</v>
      </c>
      <c r="M20" s="14">
        <f>'2011'!$G16</f>
        <v>4.5754487902801619</v>
      </c>
      <c r="N20" s="14">
        <f>'2012'!$G16</f>
        <v>5.785182273556476</v>
      </c>
      <c r="O20" s="14">
        <f>'2013'!$G16</f>
        <v>5.6808926828776078</v>
      </c>
      <c r="P20" s="14">
        <f>'2014'!$G16</f>
        <v>4.7920987539964308</v>
      </c>
      <c r="Q20" s="14">
        <f>'2015'!$G16</f>
        <v>5.1053543605201464</v>
      </c>
      <c r="R20" s="14">
        <f>'2016'!$G16</f>
        <v>4.6235051811615921</v>
      </c>
      <c r="S20" s="14">
        <f>'2017'!$G16</f>
        <v>4.896423507539521</v>
      </c>
      <c r="T20" s="14">
        <f>'2018'!$G16</f>
        <v>5.3816220563710129</v>
      </c>
      <c r="U20" s="14">
        <f>'2019'!$G16</f>
        <v>5.5229014830178205</v>
      </c>
      <c r="V20" s="14">
        <f>'2020'!$G16</f>
        <v>5.6015365914984594</v>
      </c>
      <c r="W20" s="14">
        <f>'2021'!$G16</f>
        <v>5.794522817612842</v>
      </c>
      <c r="X20" s="14">
        <f>'2022'!$G16</f>
        <v>6.472192410399094</v>
      </c>
    </row>
    <row r="21" spans="2:24" ht="20.100000000000001" customHeight="1" thickBot="1" x14ac:dyDescent="0.25">
      <c r="B21" s="9" t="s">
        <v>29</v>
      </c>
      <c r="C21" s="14">
        <f>'2001'!$G17</f>
        <v>4.8359542786643255</v>
      </c>
      <c r="D21" s="14">
        <f>'2002'!$G17</f>
        <v>5.0056272410814771</v>
      </c>
      <c r="E21" s="14">
        <f>'2003'!$G17</f>
        <v>4.4048678381313984</v>
      </c>
      <c r="F21" s="14">
        <f>'2004'!$G17</f>
        <v>4.3914161112827141</v>
      </c>
      <c r="G21" s="14">
        <f>'2005'!$G17</f>
        <v>4.0279474454574213</v>
      </c>
      <c r="H21" s="14">
        <f>'2006'!$G17</f>
        <v>4.1925475145395588</v>
      </c>
      <c r="I21" s="14">
        <f>'2007'!$G17</f>
        <v>4.4884296317857668</v>
      </c>
      <c r="J21" s="14">
        <f>'2008'!$G17</f>
        <v>6.3504106841255581</v>
      </c>
      <c r="K21" s="14">
        <f>'2009'!$G17</f>
        <v>6.8722122717554637</v>
      </c>
      <c r="L21" s="14">
        <f>'2010'!$G17</f>
        <v>6.926456241992895</v>
      </c>
      <c r="M21" s="14">
        <f>'2011'!$G17</f>
        <v>6.9714332943436164</v>
      </c>
      <c r="N21" s="14">
        <f>'2012'!$G17</f>
        <v>6.3290630396118051</v>
      </c>
      <c r="O21" s="14">
        <f>'2013'!$G17</f>
        <v>6.2509332772017698</v>
      </c>
      <c r="P21" s="14">
        <f>'2014'!$G17</f>
        <v>6.561287317321618</v>
      </c>
      <c r="Q21" s="14">
        <f>'2015'!$G17</f>
        <v>5.8624926322727724</v>
      </c>
      <c r="R21" s="14">
        <f>'2016'!$G17</f>
        <v>5.5138093603800513</v>
      </c>
      <c r="S21" s="14">
        <f>'2017'!$G17</f>
        <v>5.6756323258354175</v>
      </c>
      <c r="T21" s="14">
        <f>'2018'!$G17</f>
        <v>6.170564829020611</v>
      </c>
      <c r="U21" s="14">
        <f>'2019'!$G17</f>
        <v>6.4917439493327302</v>
      </c>
      <c r="V21" s="14">
        <f>'2020'!$G17</f>
        <v>5.8819864059620519</v>
      </c>
      <c r="W21" s="14">
        <f>'2021'!$G17</f>
        <v>6.3869982131409158</v>
      </c>
      <c r="X21" s="14">
        <f>'2022'!$G17</f>
        <v>5.4867485984750317</v>
      </c>
    </row>
    <row r="22" spans="2:24" ht="20.100000000000001" customHeight="1" thickBot="1" x14ac:dyDescent="0.25">
      <c r="B22" s="9" t="s">
        <v>38</v>
      </c>
      <c r="C22" s="14">
        <f>'2001'!$G18</f>
        <v>7.4767837362730676</v>
      </c>
      <c r="D22" s="14">
        <f>'2002'!$G18</f>
        <v>8.2823136912552222</v>
      </c>
      <c r="E22" s="14">
        <f>'2003'!$G18</f>
        <v>7.9615395120120755</v>
      </c>
      <c r="F22" s="14">
        <f>'2004'!$G18</f>
        <v>7.0925782818488496</v>
      </c>
      <c r="G22" s="14">
        <f>'2005'!$G18</f>
        <v>6.7687722645653166</v>
      </c>
      <c r="H22" s="14">
        <f>'2006'!$G18</f>
        <v>6.6508406593282414</v>
      </c>
      <c r="I22" s="14">
        <f>'2007'!$G18</f>
        <v>6.5020000888886722</v>
      </c>
      <c r="J22" s="14">
        <f>'2008'!$G18</f>
        <v>8.2199641203910971</v>
      </c>
      <c r="K22" s="14">
        <f>'2009'!$G18</f>
        <v>9.433967421261368</v>
      </c>
      <c r="L22" s="14">
        <f>'2010'!$G18</f>
        <v>8.6430283931820355</v>
      </c>
      <c r="M22" s="14">
        <f>'2011'!$G18</f>
        <v>8.5733679212472058</v>
      </c>
      <c r="N22" s="14">
        <f>'2012'!$G18</f>
        <v>9.1422087337109712</v>
      </c>
      <c r="O22" s="14">
        <f>'2013'!$G18</f>
        <v>9.4948045678293784</v>
      </c>
      <c r="P22" s="14">
        <f>'2014'!$G18</f>
        <v>8.7525145805846147</v>
      </c>
      <c r="Q22" s="14">
        <f>'2015'!$G18</f>
        <v>7.9483381553903181</v>
      </c>
      <c r="R22" s="14">
        <f>'2016'!$G18</f>
        <v>7.2962898814292005</v>
      </c>
      <c r="S22" s="14">
        <f>'2017'!$G18</f>
        <v>7.2847436270598642</v>
      </c>
      <c r="T22" s="14">
        <f>'2018'!$G18</f>
        <v>7.1232852291263686</v>
      </c>
      <c r="U22" s="14">
        <f>'2019'!$G18</f>
        <v>7.7965193882899335</v>
      </c>
      <c r="V22" s="14">
        <f>'2020'!$G18</f>
        <v>7.4417566452774846</v>
      </c>
      <c r="W22" s="14">
        <f>'2021'!$G18</f>
        <v>7.7797201267601448</v>
      </c>
      <c r="X22" s="14">
        <f>'2022'!$G18</f>
        <v>8.2730067737233437</v>
      </c>
    </row>
    <row r="23" spans="2:24" ht="20.100000000000001" customHeight="1" thickBot="1" x14ac:dyDescent="0.25">
      <c r="B23" s="9" t="s">
        <v>39</v>
      </c>
      <c r="C23" s="14">
        <f>'2001'!$G19</f>
        <v>6.1874457009259975</v>
      </c>
      <c r="D23" s="14">
        <f>'2002'!$G19</f>
        <v>6.9910820472824415</v>
      </c>
      <c r="E23" s="14">
        <f>'2003'!$G19</f>
        <v>8.0155069400085406</v>
      </c>
      <c r="F23" s="14">
        <f>'2004'!$G19</f>
        <v>7.5110715259859768</v>
      </c>
      <c r="G23" s="14">
        <f>'2005'!$G19</f>
        <v>6.6239446003761717</v>
      </c>
      <c r="H23" s="14">
        <f>'2006'!$G19</f>
        <v>7.0210191926573629</v>
      </c>
      <c r="I23" s="14">
        <f>'2007'!$G19</f>
        <v>6.5074724672063855</v>
      </c>
      <c r="J23" s="14">
        <f>'2008'!$G19</f>
        <v>7.4021672666498608</v>
      </c>
      <c r="K23" s="14">
        <f>'2009'!$G19</f>
        <v>8.6287519802057506</v>
      </c>
      <c r="L23" s="14">
        <f>'2010'!$G19</f>
        <v>8.3460168983223024</v>
      </c>
      <c r="M23" s="14">
        <f>'2011'!$G19</f>
        <v>8.0716611926919839</v>
      </c>
      <c r="N23" s="14">
        <f>'2012'!$G19</f>
        <v>9.2745496310120785</v>
      </c>
      <c r="O23" s="14">
        <f>'2013'!$G19</f>
        <v>13.365938949212545</v>
      </c>
      <c r="P23" s="14">
        <f>'2014'!$G19</f>
        <v>9.8480343431098909</v>
      </c>
      <c r="Q23" s="14">
        <f>'2015'!$G19</f>
        <v>8.9782594502839981</v>
      </c>
      <c r="R23" s="14">
        <f>'2016'!$G19</f>
        <v>8.8403730994722789</v>
      </c>
      <c r="S23" s="14">
        <f>'2017'!$G19</f>
        <v>9.8571630111242516</v>
      </c>
      <c r="T23" s="14">
        <f>'2018'!$G19</f>
        <v>9.9319084086330545</v>
      </c>
      <c r="U23" s="14">
        <f>'2019'!$G19</f>
        <v>10.189554340385772</v>
      </c>
      <c r="V23" s="14">
        <f>'2020'!$G19</f>
        <v>10.627516833514024</v>
      </c>
      <c r="W23" s="14">
        <f>'2021'!$G19</f>
        <v>12.476458286769688</v>
      </c>
      <c r="X23" s="14">
        <f>'2022'!$G19</f>
        <v>11.757428959036121</v>
      </c>
    </row>
    <row r="24" spans="2:24" ht="20.100000000000001" customHeight="1" thickBot="1" x14ac:dyDescent="0.25">
      <c r="B24" s="9" t="s">
        <v>40</v>
      </c>
      <c r="C24" s="14">
        <f>'2001'!$G20</f>
        <v>7.3153997884565909</v>
      </c>
      <c r="D24" s="14">
        <f>'2002'!$G20</f>
        <v>9.0240783844546577</v>
      </c>
      <c r="E24" s="14">
        <f>'2003'!$G20</f>
        <v>8.3472924086091123</v>
      </c>
      <c r="F24" s="14">
        <f>'2004'!$G20</f>
        <v>7.3280832236832882</v>
      </c>
      <c r="G24" s="14">
        <f>'2005'!$G20</f>
        <v>8.0189241069079085</v>
      </c>
      <c r="H24" s="14">
        <f>'2006'!$G20</f>
        <v>6.6231717572566327</v>
      </c>
      <c r="I24" s="14">
        <f>'2007'!$G20</f>
        <v>5.6452406195009459</v>
      </c>
      <c r="J24" s="14">
        <f>'2008'!$G20</f>
        <v>7.292491811000021</v>
      </c>
      <c r="K24" s="14">
        <f>'2009'!$G20</f>
        <v>8.5391798446598841</v>
      </c>
      <c r="L24" s="14">
        <f>'2010'!$G20</f>
        <v>8.3345338903918087</v>
      </c>
      <c r="M24" s="14">
        <f>'2011'!$G20</f>
        <v>7.7038362122894029</v>
      </c>
      <c r="N24" s="14">
        <f>'2012'!$G20</f>
        <v>8.9553830973144528</v>
      </c>
      <c r="O24" s="14">
        <f>'2013'!$G20</f>
        <v>11.472115674697237</v>
      </c>
      <c r="P24" s="14">
        <f>'2014'!$G20</f>
        <v>9.1387298991550843</v>
      </c>
      <c r="Q24" s="14">
        <f>'2015'!$G20</f>
        <v>8.2884159977142993</v>
      </c>
      <c r="R24" s="14">
        <f>'2016'!$G20</f>
        <v>6.6372110417041785</v>
      </c>
      <c r="S24" s="14">
        <f>'2017'!$G20</f>
        <v>7.753279857944948</v>
      </c>
      <c r="T24" s="14">
        <f>'2018'!$G20</f>
        <v>7.749180832889909</v>
      </c>
      <c r="U24" s="14">
        <f>'2019'!$G20</f>
        <v>7.6311498831795337</v>
      </c>
      <c r="V24" s="14">
        <f>'2020'!$G20</f>
        <v>7.9630924087795325</v>
      </c>
      <c r="W24" s="14">
        <f>'2021'!$G20</f>
        <v>8.1925545210711821</v>
      </c>
      <c r="X24" s="14">
        <f>'2022'!$G20</f>
        <v>7.734760079201247</v>
      </c>
    </row>
    <row r="25" spans="2:24" ht="20.100000000000001" customHeight="1" thickBot="1" x14ac:dyDescent="0.25">
      <c r="B25" s="9" t="s">
        <v>41</v>
      </c>
      <c r="C25" s="14">
        <f>'2001'!$G21</f>
        <v>4.8590912423923935</v>
      </c>
      <c r="D25" s="14">
        <f>'2002'!$G21</f>
        <v>6.9446814319352965</v>
      </c>
      <c r="E25" s="14">
        <f>'2003'!$G21</f>
        <v>5.1538360413085922</v>
      </c>
      <c r="F25" s="14">
        <f>'2004'!$G21</f>
        <v>5.2504922336469049</v>
      </c>
      <c r="G25" s="14">
        <f>'2005'!$G21</f>
        <v>5.0172087837510295</v>
      </c>
      <c r="H25" s="14">
        <f>'2006'!$G21</f>
        <v>3.6062087822930065</v>
      </c>
      <c r="I25" s="14">
        <f>'2007'!$G21</f>
        <v>3.4723994061200734</v>
      </c>
      <c r="J25" s="14">
        <f>'2008'!$G21</f>
        <v>4.6472952596133803</v>
      </c>
      <c r="K25" s="14">
        <f>'2009'!$G21</f>
        <v>5.3985054383958726</v>
      </c>
      <c r="L25" s="14">
        <f>'2010'!$G21</f>
        <v>4.7026739230467154</v>
      </c>
      <c r="M25" s="14">
        <f>'2011'!$G21</f>
        <v>4.1593853352782313</v>
      </c>
      <c r="N25" s="14">
        <f>'2012'!$G21</f>
        <v>5.3216053307930178</v>
      </c>
      <c r="O25" s="14">
        <f>'2013'!$G21</f>
        <v>4.6407897142160746</v>
      </c>
      <c r="P25" s="14">
        <f>'2014'!$G21</f>
        <v>4.0738629273580083</v>
      </c>
      <c r="Q25" s="14">
        <f>'2015'!$G21</f>
        <v>3.9407581713503679</v>
      </c>
      <c r="R25" s="14">
        <f>'2016'!$G21</f>
        <v>3.8348630671472632</v>
      </c>
      <c r="S25" s="14">
        <f>'2017'!$G21</f>
        <v>4.2996130348268649</v>
      </c>
      <c r="T25" s="14">
        <f>'2018'!$G21</f>
        <v>4.1388494452529336</v>
      </c>
      <c r="U25" s="14">
        <f>'2019'!$G21</f>
        <v>4.391717894918445</v>
      </c>
      <c r="V25" s="14">
        <f>'2020'!$G21</f>
        <v>3.9785632257241295</v>
      </c>
      <c r="W25" s="14">
        <f>'2021'!$G21</f>
        <v>5.0364772383059773</v>
      </c>
      <c r="X25" s="14">
        <f>'2022'!$G21</f>
        <v>4.8054461723286392</v>
      </c>
    </row>
    <row r="26" spans="2:24" ht="20.100000000000001" customHeight="1" thickBot="1" x14ac:dyDescent="0.25">
      <c r="B26" s="9" t="s">
        <v>42</v>
      </c>
      <c r="C26" s="14">
        <f>'2001'!$G22</f>
        <v>5.3785490910826566</v>
      </c>
      <c r="D26" s="14">
        <f>'2002'!$G22</f>
        <v>5.7538922486375705</v>
      </c>
      <c r="E26" s="14">
        <f>'2003'!$G22</f>
        <v>5.1430964486330648</v>
      </c>
      <c r="F26" s="14">
        <f>'2004'!$G22</f>
        <v>4.9700525776082252</v>
      </c>
      <c r="G26" s="14">
        <f>'2005'!$G22</f>
        <v>5.0067029861528081</v>
      </c>
      <c r="H26" s="14">
        <f>'2006'!$G22</f>
        <v>4.4126686888955513</v>
      </c>
      <c r="I26" s="14">
        <f>'2007'!$G22</f>
        <v>4.5919013900772194</v>
      </c>
      <c r="J26" s="14">
        <f>'2008'!$G22</f>
        <v>6.8817919697951684</v>
      </c>
      <c r="K26" s="14">
        <f>'2009'!$G22</f>
        <v>7.3046024927799094</v>
      </c>
      <c r="L26" s="14">
        <f>'2010'!$G22</f>
        <v>6.2640540971053715</v>
      </c>
      <c r="M26" s="14">
        <f>'2011'!$G22</f>
        <v>6.7558276150183465</v>
      </c>
      <c r="N26" s="14">
        <f>'2012'!$G22</f>
        <v>6.7517210584308573</v>
      </c>
      <c r="O26" s="14">
        <f>'2013'!$G22</f>
        <v>6.1679849365195745</v>
      </c>
      <c r="P26" s="14">
        <f>'2014'!$G22</f>
        <v>7.3933114278226864</v>
      </c>
      <c r="Q26" s="14">
        <f>'2015'!$G22</f>
        <v>6.1985803251513358</v>
      </c>
      <c r="R26" s="14">
        <f>'2016'!$G22</f>
        <v>6.2295899068384353</v>
      </c>
      <c r="S26" s="14">
        <f>'2017'!$G22</f>
        <v>6.5618608478863347</v>
      </c>
      <c r="T26" s="14">
        <f>'2018'!$G22</f>
        <v>5.732558120760725</v>
      </c>
      <c r="U26" s="14">
        <f>'2019'!$G22</f>
        <v>6.8394676471892621</v>
      </c>
      <c r="V26" s="14">
        <f>'2020'!$G22</f>
        <v>7.0921643761620317</v>
      </c>
      <c r="W26" s="14">
        <f>'2021'!$G22</f>
        <v>7.2915663424186965</v>
      </c>
      <c r="X26" s="14">
        <f>'2022'!$G22</f>
        <v>7.4191787858358209</v>
      </c>
    </row>
    <row r="27" spans="2:24" ht="20.100000000000001" customHeight="1" thickBot="1" x14ac:dyDescent="0.25">
      <c r="B27" s="9" t="s">
        <v>5</v>
      </c>
      <c r="C27" s="14">
        <f>'2001'!$G23</f>
        <v>7.7026670089247515</v>
      </c>
      <c r="D27" s="14">
        <f>'2002'!$G23</f>
        <v>8.7409524687658475</v>
      </c>
      <c r="E27" s="14">
        <f>'2003'!$G23</f>
        <v>8.1500482089905208</v>
      </c>
      <c r="F27" s="14">
        <f>'2004'!$G23</f>
        <v>7.5020188037145994</v>
      </c>
      <c r="G27" s="14">
        <f>'2005'!$G23</f>
        <v>7.1650996160474048</v>
      </c>
      <c r="H27" s="14">
        <f>'2006'!$G23</f>
        <v>7.1502628980216194</v>
      </c>
      <c r="I27" s="14">
        <f>'2007'!$G23</f>
        <v>7.5677695068642379</v>
      </c>
      <c r="J27" s="14">
        <f>'2008'!$G23</f>
        <v>9.1215484988095596</v>
      </c>
      <c r="K27" s="14">
        <f>'2009'!$G23</f>
        <v>10.136872385381045</v>
      </c>
      <c r="L27" s="14">
        <f>'2010'!$G23</f>
        <v>9.0299704516673707</v>
      </c>
      <c r="M27" s="14">
        <f>'2011'!$G23</f>
        <v>8.4451570590149387</v>
      </c>
      <c r="N27" s="14">
        <f>'2012'!$G23</f>
        <v>8.9078083928730791</v>
      </c>
      <c r="O27" s="14">
        <f>'2013'!$G23</f>
        <v>10.196185764874436</v>
      </c>
      <c r="P27" s="14">
        <f>'2014'!$G23</f>
        <v>8.213625614960181</v>
      </c>
      <c r="Q27" s="14">
        <f>'2015'!$G23</f>
        <v>7.9821729761320892</v>
      </c>
      <c r="R27" s="14">
        <f>'2016'!$G23</f>
        <v>7.8992658955764803</v>
      </c>
      <c r="S27" s="14">
        <f>'2017'!$G23</f>
        <v>8.0372913776613633</v>
      </c>
      <c r="T27" s="14">
        <f>'2018'!$G23</f>
        <v>8.0812920415904763</v>
      </c>
      <c r="U27" s="14">
        <f>'2019'!$G23</f>
        <v>9.2190721383359886</v>
      </c>
      <c r="V27" s="14">
        <f>'2020'!$G23</f>
        <v>8.099089903157461</v>
      </c>
      <c r="W27" s="14">
        <f>'2021'!$G23</f>
        <v>10.526820038083375</v>
      </c>
      <c r="X27" s="14">
        <f>'2022'!$G23</f>
        <v>8.8365066628799998</v>
      </c>
    </row>
    <row r="28" spans="2:24" ht="20.100000000000001" customHeight="1" thickBot="1" x14ac:dyDescent="0.25">
      <c r="B28" s="9" t="s">
        <v>43</v>
      </c>
      <c r="C28" s="14">
        <f>'2001'!$G24</f>
        <v>4.9940948898640283</v>
      </c>
      <c r="D28" s="14">
        <f>'2002'!$G24</f>
        <v>5.3128559942701754</v>
      </c>
      <c r="E28" s="14">
        <f>'2003'!$G24</f>
        <v>5.5997329417508137</v>
      </c>
      <c r="F28" s="14">
        <f>'2004'!$G24</f>
        <v>5.0024177720467629</v>
      </c>
      <c r="G28" s="14">
        <f>'2005'!$G24</f>
        <v>4.9537016590852216</v>
      </c>
      <c r="H28" s="14">
        <f>'2006'!$G24</f>
        <v>5.4594728821765006</v>
      </c>
      <c r="I28" s="14">
        <f>'2007'!$G24</f>
        <v>5.3219881314954947</v>
      </c>
      <c r="J28" s="14">
        <f>'2008'!$G24</f>
        <v>7.5893194826151635</v>
      </c>
      <c r="K28" s="14">
        <f>'2009'!$G24</f>
        <v>9.7841444726141908</v>
      </c>
      <c r="L28" s="14">
        <f>'2010'!$G24</f>
        <v>7.8341944217358348</v>
      </c>
      <c r="M28" s="14">
        <f>'2011'!$G24</f>
        <v>8.0847993857802845</v>
      </c>
      <c r="N28" s="14">
        <f>'2012'!$G24</f>
        <v>7.9048702866859424</v>
      </c>
      <c r="O28" s="14">
        <f>'2013'!$G24</f>
        <v>8.8682214861583617</v>
      </c>
      <c r="P28" s="14">
        <f>'2014'!$G24</f>
        <v>7.4977702431286044</v>
      </c>
      <c r="Q28" s="14">
        <f>'2015'!$G24</f>
        <v>6.9909174742026394</v>
      </c>
      <c r="R28" s="14">
        <f>'2016'!$G24</f>
        <v>6.6862899118680348</v>
      </c>
      <c r="S28" s="14">
        <f>'2017'!$G24</f>
        <v>6.5146749613359516</v>
      </c>
      <c r="T28" s="14">
        <f>'2018'!$G24</f>
        <v>6.9596358455047511</v>
      </c>
      <c r="U28" s="14">
        <f>'2019'!$G24</f>
        <v>6.814239553625927</v>
      </c>
      <c r="V28" s="14">
        <f>'2020'!$G24</f>
        <v>6.1186154135145747</v>
      </c>
      <c r="W28" s="14">
        <f>'2021'!$G24</f>
        <v>6.6006432007413158</v>
      </c>
      <c r="X28" s="14">
        <f>'2022'!$G24</f>
        <v>5.972091628851369</v>
      </c>
    </row>
    <row r="29" spans="2:24" ht="20.100000000000001" customHeight="1" thickBot="1" x14ac:dyDescent="0.25">
      <c r="B29" s="9" t="s">
        <v>44</v>
      </c>
      <c r="C29" s="14">
        <f>'2001'!$G25</f>
        <v>4.7160250824834247</v>
      </c>
      <c r="D29" s="14">
        <f>'2002'!$G25</f>
        <v>5.5704900296900099</v>
      </c>
      <c r="E29" s="14">
        <f>'2003'!$G25</f>
        <v>5.4175979658375537</v>
      </c>
      <c r="F29" s="14">
        <f>'2004'!$G25</f>
        <v>5.2017187582418032</v>
      </c>
      <c r="G29" s="14">
        <f>'2005'!$G25</f>
        <v>4.4474663040435152</v>
      </c>
      <c r="H29" s="14">
        <f>'2006'!$G25</f>
        <v>5.7352662647179518</v>
      </c>
      <c r="I29" s="14">
        <f>'2007'!$G25</f>
        <v>4.4695190562257654</v>
      </c>
      <c r="J29" s="14">
        <f>'2008'!$G25</f>
        <v>5.4006658460054027</v>
      </c>
      <c r="K29" s="14">
        <f>'2009'!$G25</f>
        <v>7.4705133773206667</v>
      </c>
      <c r="L29" s="14">
        <f>'2010'!$G25</f>
        <v>6.5879313177940251</v>
      </c>
      <c r="M29" s="14">
        <f>'2011'!$G25</f>
        <v>6.9769415758947515</v>
      </c>
      <c r="N29" s="14">
        <f>'2012'!$G25</f>
        <v>7.1117397454031117</v>
      </c>
      <c r="O29" s="14">
        <f>'2013'!$G25</f>
        <v>7.0062214026920051</v>
      </c>
      <c r="P29" s="14">
        <f>'2014'!$G25</f>
        <v>5.9313373606895903</v>
      </c>
      <c r="Q29" s="14">
        <f>'2015'!$G25</f>
        <v>5.3220377915295121</v>
      </c>
      <c r="R29" s="14">
        <f>'2016'!$G25</f>
        <v>5.5436309401682422</v>
      </c>
      <c r="S29" s="14">
        <f>'2017'!$G25</f>
        <v>5.5832129540091291</v>
      </c>
      <c r="T29" s="14">
        <f>'2018'!$G25</f>
        <v>5.626127028651573</v>
      </c>
      <c r="U29" s="14">
        <f>'2019'!$G25</f>
        <v>6.323611578966478</v>
      </c>
      <c r="V29" s="14">
        <f>'2020'!$G25</f>
        <v>5.7166520215333954</v>
      </c>
      <c r="W29" s="14">
        <f>'2021'!$G25</f>
        <v>5.8892671607885649</v>
      </c>
      <c r="X29" s="14">
        <f>'2022'!$G25</f>
        <v>6.1633281972265026</v>
      </c>
    </row>
    <row r="30" spans="2:24" ht="20.100000000000001" customHeight="1" thickBot="1" x14ac:dyDescent="0.25">
      <c r="B30" s="9" t="s">
        <v>45</v>
      </c>
      <c r="C30" s="14">
        <f>'2001'!$G26</f>
        <v>5.5078772129283742</v>
      </c>
      <c r="D30" s="14">
        <f>'2002'!$G26</f>
        <v>5.9886063457441079</v>
      </c>
      <c r="E30" s="14">
        <f>'2003'!$G26</f>
        <v>8.0108873836256222</v>
      </c>
      <c r="F30" s="14">
        <f>'2004'!$G26</f>
        <v>5.7086437483170274</v>
      </c>
      <c r="G30" s="14">
        <f>'2005'!$G26</f>
        <v>5.1301926627025818</v>
      </c>
      <c r="H30" s="14">
        <f>'2006'!$G26</f>
        <v>5.1364541087192865</v>
      </c>
      <c r="I30" s="14">
        <f>'2007'!$G26</f>
        <v>4.474981759242195</v>
      </c>
      <c r="J30" s="14">
        <f>'2008'!$G26</f>
        <v>7.0679074937845972</v>
      </c>
      <c r="K30" s="14">
        <f>'2009'!$G26</f>
        <v>7.845790661170799</v>
      </c>
      <c r="L30" s="14">
        <f>'2010'!$G26</f>
        <v>6.9481361506779216</v>
      </c>
      <c r="M30" s="14">
        <f>'2011'!$G26</f>
        <v>7.5211855205079807</v>
      </c>
      <c r="N30" s="14">
        <f>'2012'!$G26</f>
        <v>7.9043080281119407</v>
      </c>
      <c r="O30" s="14">
        <f>'2013'!$G26</f>
        <v>7.9883153752015774</v>
      </c>
      <c r="P30" s="14">
        <f>'2014'!$G26</f>
        <v>5.3452455710643703</v>
      </c>
      <c r="Q30" s="14">
        <f>'2015'!$G26</f>
        <v>5.3971098941568174</v>
      </c>
      <c r="R30" s="14">
        <f>'2016'!$G26</f>
        <v>5.0858377231212337</v>
      </c>
      <c r="S30" s="14">
        <f>'2017'!$G26</f>
        <v>6.0211692435731692</v>
      </c>
      <c r="T30" s="14">
        <f>'2018'!$G26</f>
        <v>5.6632367174367078</v>
      </c>
      <c r="U30" s="14">
        <f>'2019'!$G26</f>
        <v>6.3015738608570597</v>
      </c>
      <c r="V30" s="14">
        <f>'2020'!$G26</f>
        <v>5.5077029781777744</v>
      </c>
      <c r="W30" s="14">
        <f>'2021'!$G26</f>
        <v>5.4828273829830234</v>
      </c>
      <c r="X30" s="14">
        <f>'2022'!$G26</f>
        <v>5.795653645970785</v>
      </c>
    </row>
    <row r="31" spans="2:24" ht="20.100000000000001" customHeight="1" thickBot="1" x14ac:dyDescent="0.25">
      <c r="B31" s="9" t="s">
        <v>46</v>
      </c>
      <c r="C31" s="14">
        <f>'2001'!$G27</f>
        <v>6.3339235849754782</v>
      </c>
      <c r="D31" s="14">
        <f>'2002'!$G27</f>
        <v>6.5375407191024975</v>
      </c>
      <c r="E31" s="14">
        <f>'2003'!$G27</f>
        <v>6.7147626635641595</v>
      </c>
      <c r="F31" s="14">
        <f>'2004'!$G27</f>
        <v>6.6589735174932931</v>
      </c>
      <c r="G31" s="14">
        <f>'2005'!$G27</f>
        <v>6.3521394648298095</v>
      </c>
      <c r="H31" s="14">
        <f>'2006'!$G27</f>
        <v>6.9778707885020559</v>
      </c>
      <c r="I31" s="14">
        <f>'2007'!$G27</f>
        <v>6.9236011553753913</v>
      </c>
      <c r="J31" s="14">
        <f>'2008'!$G27</f>
        <v>7.729644173007082</v>
      </c>
      <c r="K31" s="14">
        <f>'2009'!$G27</f>
        <v>9.123622421186429</v>
      </c>
      <c r="L31" s="14">
        <f>'2010'!$G27</f>
        <v>9.0679292220037713</v>
      </c>
      <c r="M31" s="14">
        <f>'2011'!$G27</f>
        <v>9.7844696824406086</v>
      </c>
      <c r="N31" s="14">
        <f>'2012'!$G27</f>
        <v>10.388045923153113</v>
      </c>
      <c r="O31" s="14">
        <f>'2013'!$G27</f>
        <v>10.732225054276153</v>
      </c>
      <c r="P31" s="14">
        <f>'2014'!$G27</f>
        <v>10.470233549771129</v>
      </c>
      <c r="Q31" s="14">
        <f>'2015'!$G27</f>
        <v>9.6726744949414307</v>
      </c>
      <c r="R31" s="14">
        <f>'2016'!$G27</f>
        <v>9.4130828402946563</v>
      </c>
      <c r="S31" s="14">
        <f>'2017'!$G27</f>
        <v>9.8349183339373418</v>
      </c>
      <c r="T31" s="14">
        <f>'2018'!$G27</f>
        <v>9.149944923442245</v>
      </c>
      <c r="U31" s="14">
        <f>'2019'!$G27</f>
        <v>10.290319007927859</v>
      </c>
      <c r="V31" s="14">
        <f>'2020'!$G27</f>
        <v>8.619959619010265</v>
      </c>
      <c r="W31" s="14">
        <f>'2021'!$G27</f>
        <v>9.9247054370280701</v>
      </c>
      <c r="X31" s="14">
        <f>'2022'!$G27</f>
        <v>9.1123026352204288</v>
      </c>
    </row>
    <row r="32" spans="2:24" ht="20.100000000000001" customHeight="1" thickBot="1" x14ac:dyDescent="0.25">
      <c r="B32" s="9" t="s">
        <v>47</v>
      </c>
      <c r="C32" s="14">
        <f>'2001'!$G28</f>
        <v>3.7216041602572374</v>
      </c>
      <c r="D32" s="14">
        <f>'2002'!$G28</f>
        <v>5.485730157627942</v>
      </c>
      <c r="E32" s="14">
        <f>'2003'!$G28</f>
        <v>4.0249874373097123</v>
      </c>
      <c r="F32" s="14">
        <f>'2004'!$G28</f>
        <v>4.3657661357347495</v>
      </c>
      <c r="G32" s="14">
        <f>'2005'!$G28</f>
        <v>4.8179099310490736</v>
      </c>
      <c r="H32" s="14">
        <f>'2006'!$G28</f>
        <v>3.9306668711891706</v>
      </c>
      <c r="I32" s="14">
        <f>'2007'!$G28</f>
        <v>3.0845653459491427</v>
      </c>
      <c r="J32" s="14">
        <f>'2008'!$G28</f>
        <v>5.0215074741956762</v>
      </c>
      <c r="K32" s="14">
        <f>'2009'!$G28</f>
        <v>4.747818165925203</v>
      </c>
      <c r="L32" s="14">
        <f>'2010'!$G28</f>
        <v>5.1259438902055887</v>
      </c>
      <c r="M32" s="14">
        <f>'2011'!$G28</f>
        <v>6.1559382672106162</v>
      </c>
      <c r="N32" s="14">
        <f>'2012'!$G28</f>
        <v>7.8014639784255806</v>
      </c>
      <c r="O32" s="14">
        <f>'2013'!$G28</f>
        <v>6.828725005781056</v>
      </c>
      <c r="P32" s="14">
        <f>'2014'!$G28</f>
        <v>5.929168132890493</v>
      </c>
      <c r="Q32" s="14">
        <f>'2015'!$G28</f>
        <v>6.95640229394479</v>
      </c>
      <c r="R32" s="14">
        <f>'2016'!$G28</f>
        <v>4.7694595441411236</v>
      </c>
      <c r="S32" s="14">
        <f>'2017'!$G28</f>
        <v>5.419740536841152</v>
      </c>
      <c r="T32" s="14">
        <f>'2018'!$G28</f>
        <v>6.1047956110373081</v>
      </c>
      <c r="U32" s="14">
        <f>'2019'!$G28</f>
        <v>6.208965562907161</v>
      </c>
      <c r="V32" s="14">
        <f>'2020'!$G28</f>
        <v>6.0110431887589924</v>
      </c>
      <c r="W32" s="14">
        <f>'2021'!$G28</f>
        <v>6.4905174001104768</v>
      </c>
      <c r="X32" s="14">
        <f>'2022'!$G28</f>
        <v>5.8000368256306389</v>
      </c>
    </row>
    <row r="33" spans="2:24" ht="20.100000000000001" customHeight="1" thickBot="1" x14ac:dyDescent="0.25">
      <c r="B33" s="9" t="s">
        <v>48</v>
      </c>
      <c r="C33" s="14">
        <f>'2001'!$G29</f>
        <v>5.3053440165630255</v>
      </c>
      <c r="D33" s="14">
        <f>'2002'!$G29</f>
        <v>11.296790904469495</v>
      </c>
      <c r="E33" s="14">
        <f>'2003'!$G29</f>
        <v>11.326336587386736</v>
      </c>
      <c r="F33" s="14">
        <f>'2004'!$G29</f>
        <v>9.8353397566992058</v>
      </c>
      <c r="G33" s="14">
        <f>'2005'!$G29</f>
        <v>9.1462146422628958</v>
      </c>
      <c r="H33" s="14">
        <f>'2006'!$G29</f>
        <v>8.958927714635065</v>
      </c>
      <c r="I33" s="14">
        <f>'2007'!$G29</f>
        <v>9.4947846267628968</v>
      </c>
      <c r="J33" s="14">
        <f>'2008'!$G29</f>
        <v>10.830379402907724</v>
      </c>
      <c r="K33" s="14">
        <f>'2009'!$G29</f>
        <v>11.569229541196984</v>
      </c>
      <c r="L33" s="14">
        <f>'2010'!$G29</f>
        <v>10.812035391180087</v>
      </c>
      <c r="M33" s="14">
        <f>'2011'!$G29</f>
        <v>11.717099408925277</v>
      </c>
      <c r="N33" s="14">
        <f>'2012'!$G29</f>
        <v>11.667250029168125</v>
      </c>
      <c r="O33" s="14">
        <f>'2013'!$G29</f>
        <v>17.042201761469176</v>
      </c>
      <c r="P33" s="14">
        <f>'2014'!$G29</f>
        <v>12.5067067687355</v>
      </c>
      <c r="Q33" s="14">
        <f>'2015'!$G29</f>
        <v>11.057326777839728</v>
      </c>
      <c r="R33" s="14">
        <f>'2016'!$G29</f>
        <v>10.568247313308747</v>
      </c>
      <c r="S33" s="14">
        <f>'2017'!$G29</f>
        <v>11.032428108462895</v>
      </c>
      <c r="T33" s="14">
        <f>'2018'!$G29</f>
        <v>10.301296857397128</v>
      </c>
      <c r="U33" s="14">
        <f>'2019'!$G29</f>
        <v>11.000419922353007</v>
      </c>
      <c r="V33" s="14">
        <f>'2020'!$G29</f>
        <v>10.060009787003889</v>
      </c>
      <c r="W33" s="14">
        <f>'2021'!$G29</f>
        <v>12.966278877204603</v>
      </c>
      <c r="X33" s="14">
        <f>'2022'!$G29</f>
        <v>12.79549971019293</v>
      </c>
    </row>
    <row r="34" spans="2:24" ht="20.100000000000001" customHeight="1" thickBot="1" x14ac:dyDescent="0.25">
      <c r="B34" s="9" t="s">
        <v>49</v>
      </c>
      <c r="C34" s="14">
        <f>'2001'!$G30</f>
        <v>3.9541102389372895</v>
      </c>
      <c r="D34" s="14">
        <f>'2002'!$G30</f>
        <v>3.8939195334653043</v>
      </c>
      <c r="E34" s="14">
        <f>'2003'!$G30</f>
        <v>4.1439941132046245</v>
      </c>
      <c r="F34" s="14">
        <f>'2004'!$G30</f>
        <v>3.8887264656600617</v>
      </c>
      <c r="G34" s="14">
        <f>'2005'!$G30</f>
        <v>3.959332195646089</v>
      </c>
      <c r="H34" s="14">
        <f>'2006'!$G30</f>
        <v>3.9922540959159418</v>
      </c>
      <c r="I34" s="14">
        <f>'2007'!$G30</f>
        <v>4.1448062476546514</v>
      </c>
      <c r="J34" s="14">
        <f>'2008'!$G30</f>
        <v>5.255074713334718</v>
      </c>
      <c r="K34" s="14">
        <f>'2009'!$G30</f>
        <v>5.9990745966070333</v>
      </c>
      <c r="L34" s="14">
        <f>'2010'!$G30</f>
        <v>5.5760205883837104</v>
      </c>
      <c r="M34" s="14">
        <f>'2011'!$G30</f>
        <v>5.7953779680501052</v>
      </c>
      <c r="N34" s="14">
        <f>'2012'!$G30</f>
        <v>5.4974416610755652</v>
      </c>
      <c r="O34" s="14">
        <f>'2013'!$G30</f>
        <v>5.4212533086845092</v>
      </c>
      <c r="P34" s="14">
        <f>'2014'!$G30</f>
        <v>4.7027332984199033</v>
      </c>
      <c r="Q34" s="14">
        <f>'2015'!$G30</f>
        <v>4.3821558613326532</v>
      </c>
      <c r="R34" s="14">
        <f>'2016'!$G30</f>
        <v>4.4122955083495228</v>
      </c>
      <c r="S34" s="14">
        <f>'2017'!$G30</f>
        <v>5.103769140788339</v>
      </c>
      <c r="T34" s="14">
        <f>'2018'!$G30</f>
        <v>4.5685592304976588</v>
      </c>
      <c r="U34" s="14">
        <f>'2019'!$G30</f>
        <v>4.886880644943739</v>
      </c>
      <c r="V34" s="14">
        <f>'2020'!$G30</f>
        <v>4.6188992412265213</v>
      </c>
      <c r="W34" s="14">
        <f>'2021'!$G30</f>
        <v>4.9021352765587416</v>
      </c>
      <c r="X34" s="14">
        <f>'2022'!$G30</f>
        <v>4.8411128457302093</v>
      </c>
    </row>
    <row r="35" spans="2:24" ht="20.100000000000001" customHeight="1" thickBot="1" x14ac:dyDescent="0.25">
      <c r="B35" s="9" t="s">
        <v>50</v>
      </c>
      <c r="C35" s="14">
        <f>'2001'!$G31</f>
        <v>8.8342027252020277</v>
      </c>
      <c r="D35" s="14">
        <f>'2002'!$G31</f>
        <v>9.1872731113523383</v>
      </c>
      <c r="E35" s="14">
        <f>'2003'!$G31</f>
        <v>9.8646672471069561</v>
      </c>
      <c r="F35" s="14">
        <f>'2004'!$G31</f>
        <v>7.1523024592277178</v>
      </c>
      <c r="G35" s="14">
        <f>'2005'!$G31</f>
        <v>7.6989376209492884</v>
      </c>
      <c r="H35" s="14">
        <f>'2006'!$G31</f>
        <v>7.6890242232225194</v>
      </c>
      <c r="I35" s="14">
        <f>'2007'!$G31</f>
        <v>7.6631689437495121</v>
      </c>
      <c r="J35" s="14">
        <f>'2008'!$G31</f>
        <v>10.854175451055236</v>
      </c>
      <c r="K35" s="14">
        <f>'2009'!$G31</f>
        <v>11.645001035894859</v>
      </c>
      <c r="L35" s="14">
        <f>'2010'!$G31</f>
        <v>9.6114465967810805</v>
      </c>
      <c r="M35" s="14">
        <f>'2011'!$G31</f>
        <v>9.6241414742307061</v>
      </c>
      <c r="N35" s="14">
        <f>'2012'!$G31</f>
        <v>10.703976908274534</v>
      </c>
      <c r="O35" s="14">
        <f>'2013'!$G31</f>
        <v>10.040040508245777</v>
      </c>
      <c r="P35" s="14">
        <f>'2014'!$G31</f>
        <v>9.8797657307861719</v>
      </c>
      <c r="Q35" s="14">
        <f>'2015'!$G31</f>
        <v>8.7060134285841997</v>
      </c>
      <c r="R35" s="14">
        <f>'2016'!$G31</f>
        <v>8.4969062434454301</v>
      </c>
      <c r="S35" s="14">
        <f>'2017'!$G31</f>
        <v>9.0225185061855235</v>
      </c>
      <c r="T35" s="14">
        <f>'2018'!$G31</f>
        <v>8.2613820135405529</v>
      </c>
      <c r="U35" s="14">
        <f>'2019'!$G31</f>
        <v>9.5530886279105882</v>
      </c>
      <c r="V35" s="14">
        <f>'2020'!$G31</f>
        <v>8.3814928282968957</v>
      </c>
      <c r="W35" s="14">
        <f>'2021'!$G31</f>
        <v>8.5354126281560081</v>
      </c>
      <c r="X35" s="14">
        <f>'2022'!$G31</f>
        <v>8.9196364417835809</v>
      </c>
    </row>
    <row r="36" spans="2:24" ht="20.100000000000001" customHeight="1" thickBot="1" x14ac:dyDescent="0.25">
      <c r="B36" s="9" t="s">
        <v>51</v>
      </c>
      <c r="C36" s="14">
        <f>'2001'!$G32</f>
        <v>6.0280297553809197</v>
      </c>
      <c r="D36" s="14">
        <f>'2002'!$G32</f>
        <v>7.3638199605087733</v>
      </c>
      <c r="E36" s="14">
        <f>'2003'!$G32</f>
        <v>6.7664470491820961</v>
      </c>
      <c r="F36" s="14">
        <f>'2004'!$G32</f>
        <v>6.889687643427723</v>
      </c>
      <c r="G36" s="14">
        <f>'2005'!$G32</f>
        <v>6.0960944747394921</v>
      </c>
      <c r="H36" s="14">
        <f>'2006'!$G32</f>
        <v>7.1333224046275259</v>
      </c>
      <c r="I36" s="14">
        <f>'2007'!$G32</f>
        <v>6.4263910458951425</v>
      </c>
      <c r="J36" s="14">
        <f>'2008'!$G32</f>
        <v>9.9795194859264811</v>
      </c>
      <c r="K36" s="14">
        <f>'2009'!$G32</f>
        <v>11.720448017680203</v>
      </c>
      <c r="L36" s="14">
        <f>'2010'!$G32</f>
        <v>8.3199834633869045</v>
      </c>
      <c r="M36" s="14">
        <f>'2011'!$G32</f>
        <v>8.6133954090485503</v>
      </c>
      <c r="N36" s="14">
        <f>'2012'!$G32</f>
        <v>9.7134512612845185</v>
      </c>
      <c r="O36" s="14">
        <f>'2013'!$G32</f>
        <v>9.2153203245344795</v>
      </c>
      <c r="P36" s="14">
        <f>'2014'!$G32</f>
        <v>6.5537572525897918</v>
      </c>
      <c r="Q36" s="14">
        <f>'2015'!$G32</f>
        <v>6.5119872598409057</v>
      </c>
      <c r="R36" s="14">
        <f>'2016'!$G32</f>
        <v>7.0388560672566651</v>
      </c>
      <c r="S36" s="14">
        <f>'2017'!$G32</f>
        <v>6.9795902254154987</v>
      </c>
      <c r="T36" s="14">
        <f>'2018'!$G32</f>
        <v>6.4488730201173379</v>
      </c>
      <c r="U36" s="14">
        <f>'2019'!$G32</f>
        <v>8.2556777182051668</v>
      </c>
      <c r="V36" s="14">
        <f>'2020'!$G32</f>
        <v>6.5840951163190136</v>
      </c>
      <c r="W36" s="14">
        <f>'2021'!$G32</f>
        <v>8.2571501724475507</v>
      </c>
      <c r="X36" s="14">
        <f>'2022'!$G32</f>
        <v>6.9694413904242669</v>
      </c>
    </row>
    <row r="37" spans="2:24" ht="20.100000000000001" customHeight="1" thickBot="1" x14ac:dyDescent="0.25">
      <c r="B37" s="9" t="s">
        <v>52</v>
      </c>
      <c r="C37" s="14">
        <f>'2001'!$G33</f>
        <v>4.5676044441556751</v>
      </c>
      <c r="D37" s="14">
        <f>'2002'!$G33</f>
        <v>4.8974693182258129</v>
      </c>
      <c r="E37" s="14">
        <f>'2003'!$G33</f>
        <v>5.0270295441172115</v>
      </c>
      <c r="F37" s="14">
        <f>'2004'!$G33</f>
        <v>6.7001323664221415</v>
      </c>
      <c r="G37" s="14">
        <f>'2005'!$G33</f>
        <v>4.6321559678539534</v>
      </c>
      <c r="H37" s="14">
        <f>'2006'!$G33</f>
        <v>4.5593631520559805</v>
      </c>
      <c r="I37" s="14">
        <f>'2007'!$G33</f>
        <v>4.9912492389550529</v>
      </c>
      <c r="J37" s="14">
        <f>'2008'!$G33</f>
        <v>5.8572792691690543</v>
      </c>
      <c r="K37" s="14">
        <f>'2009'!$G33</f>
        <v>7.1522760872063467</v>
      </c>
      <c r="L37" s="14">
        <f>'2010'!$G33</f>
        <v>7.2421107896255608</v>
      </c>
      <c r="M37" s="14">
        <f>'2011'!$G33</f>
        <v>7.6824632927689054</v>
      </c>
      <c r="N37" s="14">
        <f>'2012'!$G33</f>
        <v>8.4859867421996622</v>
      </c>
      <c r="O37" s="14">
        <f>'2013'!$G33</f>
        <v>7.7842310262969878</v>
      </c>
      <c r="P37" s="14">
        <f>'2014'!$G33</f>
        <v>7.1933578440341348</v>
      </c>
      <c r="Q37" s="14">
        <f>'2015'!$G33</f>
        <v>7.8785885846039649</v>
      </c>
      <c r="R37" s="14">
        <f>'2016'!$G33</f>
        <v>7.1093695871407787</v>
      </c>
      <c r="S37" s="14">
        <f>'2017'!$G33</f>
        <v>6.5288189158460677</v>
      </c>
      <c r="T37" s="14">
        <f>'2018'!$G33</f>
        <v>6.4681535277690161</v>
      </c>
      <c r="U37" s="14">
        <f>'2019'!$G33</f>
        <v>6.8580297775308026</v>
      </c>
      <c r="V37" s="14">
        <f>'2020'!$G33</f>
        <v>6.7063657067433695</v>
      </c>
      <c r="W37" s="14">
        <f>'2021'!$G33</f>
        <v>7.2342084494185439</v>
      </c>
      <c r="X37" s="14">
        <f>'2022'!$G33</f>
        <v>6.9394391776888185</v>
      </c>
    </row>
    <row r="38" spans="2:24" ht="20.100000000000001" customHeight="1" thickBot="1" x14ac:dyDescent="0.25">
      <c r="B38" s="9" t="s">
        <v>53</v>
      </c>
      <c r="C38" s="14">
        <f>'2001'!$G34</f>
        <v>2.4228593624820953</v>
      </c>
      <c r="D38" s="14">
        <f>'2002'!$G34</f>
        <v>2.8282518914831809</v>
      </c>
      <c r="E38" s="14">
        <f>'2003'!$G34</f>
        <v>3.9330575617882872</v>
      </c>
      <c r="F38" s="14">
        <f>'2004'!$G34</f>
        <v>3.3160952743293834</v>
      </c>
      <c r="G38" s="14">
        <f>'2005'!$G34</f>
        <v>3.2937405032798428</v>
      </c>
      <c r="H38" s="14">
        <f>'2006'!$G34</f>
        <v>3.1418703531278807</v>
      </c>
      <c r="I38" s="14">
        <f>'2007'!$G34</f>
        <v>2.9394794350020668</v>
      </c>
      <c r="J38" s="14">
        <f>'2008'!$G34</f>
        <v>3.3071278593338689</v>
      </c>
      <c r="K38" s="14">
        <f>'2009'!$G34</f>
        <v>4.124180745942585</v>
      </c>
      <c r="L38" s="14">
        <f>'2010'!$G34</f>
        <v>4.2351005836388618</v>
      </c>
      <c r="M38" s="14">
        <f>'2011'!$G34</f>
        <v>3.9279912069048564</v>
      </c>
      <c r="N38" s="14">
        <f>'2012'!$G34</f>
        <v>4.0551999261892098</v>
      </c>
      <c r="O38" s="14">
        <f>'2013'!$G34</f>
        <v>4.8248346433731433</v>
      </c>
      <c r="P38" s="14">
        <f>'2014'!$G34</f>
        <v>3.2635421437114567</v>
      </c>
      <c r="Q38" s="14">
        <f>'2015'!$G34</f>
        <v>3.422921461224087</v>
      </c>
      <c r="R38" s="14">
        <f>'2016'!$G34</f>
        <v>3.3426965021553383</v>
      </c>
      <c r="S38" s="14">
        <f>'2017'!$G34</f>
        <v>3.9417028520450432</v>
      </c>
      <c r="T38" s="14">
        <f>'2018'!$G34</f>
        <v>4.0256217374455767</v>
      </c>
      <c r="U38" s="14">
        <f>'2019'!$G34</f>
        <v>4.0369952055012002</v>
      </c>
      <c r="V38" s="14">
        <f>'2020'!$G34</f>
        <v>4.3154741857405234</v>
      </c>
      <c r="W38" s="14">
        <f>'2021'!$G34</f>
        <v>5.1323440231156141</v>
      </c>
      <c r="X38" s="14">
        <f>'2022'!$G34</f>
        <v>4.3475546677130525</v>
      </c>
    </row>
    <row r="39" spans="2:24" ht="20.100000000000001" customHeight="1" thickBot="1" x14ac:dyDescent="0.25">
      <c r="B39" s="9" t="s">
        <v>54</v>
      </c>
      <c r="C39" s="14">
        <f>'2001'!$G35</f>
        <v>3.9657407077631577</v>
      </c>
      <c r="D39" s="14">
        <f>'2002'!$G35</f>
        <v>4.2741049789384098</v>
      </c>
      <c r="E39" s="14">
        <f>'2003'!$G35</f>
        <v>4.3203671160973958</v>
      </c>
      <c r="F39" s="14">
        <f>'2004'!$G35</f>
        <v>4.6496490225499576</v>
      </c>
      <c r="G39" s="14">
        <f>'2005'!$G35</f>
        <v>3.9952505285604372</v>
      </c>
      <c r="H39" s="14">
        <f>'2006'!$G35</f>
        <v>3.8189304882225752</v>
      </c>
      <c r="I39" s="14">
        <f>'2007'!$G35</f>
        <v>3.6450231819262209</v>
      </c>
      <c r="J39" s="14">
        <f>'2008'!$G35</f>
        <v>4.4258792576988419</v>
      </c>
      <c r="K39" s="14">
        <f>'2009'!$G35</f>
        <v>4.9210041476181807</v>
      </c>
      <c r="L39" s="14">
        <f>'2010'!$G35</f>
        <v>4.7602648335249063</v>
      </c>
      <c r="M39" s="14">
        <f>'2011'!$G35</f>
        <v>5.0223680286310772</v>
      </c>
      <c r="N39" s="14">
        <f>'2012'!$G35</f>
        <v>5.1354585358721181</v>
      </c>
      <c r="O39" s="14">
        <f>'2013'!$G35</f>
        <v>5.2487833049588222</v>
      </c>
      <c r="P39" s="14">
        <f>'2014'!$G35</f>
        <v>4.5809542162532075</v>
      </c>
      <c r="Q39" s="14">
        <f>'2015'!$G35</f>
        <v>4.4697861412171154</v>
      </c>
      <c r="R39" s="14">
        <f>'2016'!$G35</f>
        <v>4.1650597763208639</v>
      </c>
      <c r="S39" s="14">
        <f>'2017'!$G35</f>
        <v>4.7211741084471406</v>
      </c>
      <c r="T39" s="14">
        <f>'2018'!$G35</f>
        <v>4.6434800869457566</v>
      </c>
      <c r="U39" s="14">
        <f>'2019'!$G35</f>
        <v>5.963091337260324</v>
      </c>
      <c r="V39" s="14">
        <f>'2020'!$G35</f>
        <v>4.8338483419678457</v>
      </c>
      <c r="W39" s="14">
        <f>'2021'!$G35</f>
        <v>5.4289768650648123</v>
      </c>
      <c r="X39" s="14">
        <f>'2022'!$G35</f>
        <v>6.1050080517865402</v>
      </c>
    </row>
    <row r="40" spans="2:24" ht="20.100000000000001" customHeight="1" thickBot="1" x14ac:dyDescent="0.25">
      <c r="B40" s="9" t="s">
        <v>55</v>
      </c>
      <c r="C40" s="14">
        <f>'2001'!$G36</f>
        <v>7.7554918050837109</v>
      </c>
      <c r="D40" s="14">
        <f>'2002'!$G36</f>
        <v>9.6223736799186561</v>
      </c>
      <c r="E40" s="14">
        <f>'2003'!$G36</f>
        <v>9.4818930721494841</v>
      </c>
      <c r="F40" s="14">
        <f>'2004'!$G36</f>
        <v>8.7108296801428811</v>
      </c>
      <c r="G40" s="14">
        <f>'2005'!$G36</f>
        <v>8.3080931313041688</v>
      </c>
      <c r="H40" s="14">
        <f>'2006'!$G36</f>
        <v>8.3757674776154438</v>
      </c>
      <c r="I40" s="14">
        <f>'2007'!$G36</f>
        <v>7.7505041346074588</v>
      </c>
      <c r="J40" s="14">
        <f>'2008'!$G36</f>
        <v>9.9660135945621739</v>
      </c>
      <c r="K40" s="14">
        <f>'2009'!$G36</f>
        <v>10.764361645763733</v>
      </c>
      <c r="L40" s="14">
        <f>'2010'!$G36</f>
        <v>10.519063298643657</v>
      </c>
      <c r="M40" s="14">
        <f>'2011'!$G36</f>
        <v>9.8172153821120585</v>
      </c>
      <c r="N40" s="14">
        <f>'2012'!$G36</f>
        <v>12.124558348552233</v>
      </c>
      <c r="O40" s="14">
        <f>'2013'!$G36</f>
        <v>13.22914454662768</v>
      </c>
      <c r="P40" s="14">
        <f>'2014'!$G36</f>
        <v>9.7381028030056083</v>
      </c>
      <c r="Q40" s="14">
        <f>'2015'!$G36</f>
        <v>10.141949749163008</v>
      </c>
      <c r="R40" s="14">
        <f>'2016'!$G36</f>
        <v>9.2946850111063242</v>
      </c>
      <c r="S40" s="14">
        <f>'2017'!$G36</f>
        <v>10.010334902074668</v>
      </c>
      <c r="T40" s="14">
        <f>'2018'!$G36</f>
        <v>9.345633169881788</v>
      </c>
      <c r="U40" s="14">
        <f>'2019'!$G36</f>
        <v>9.7347614461707686</v>
      </c>
      <c r="V40" s="14">
        <f>'2020'!$G36</f>
        <v>8.4217168121041368</v>
      </c>
      <c r="W40" s="14">
        <f>'2021'!$G36</f>
        <v>9.3799949524690831</v>
      </c>
      <c r="X40" s="14">
        <f>'2022'!$G36</f>
        <v>8.848675908666257</v>
      </c>
    </row>
    <row r="41" spans="2:24" ht="20.100000000000001" customHeight="1" thickBot="1" x14ac:dyDescent="0.25">
      <c r="B41" s="9" t="s">
        <v>56</v>
      </c>
      <c r="C41" s="14">
        <f>'2001'!$G37</f>
        <v>2.6381899222788698</v>
      </c>
      <c r="D41" s="14">
        <f>'2002'!$G37</f>
        <v>2.614167710986242</v>
      </c>
      <c r="E41" s="14">
        <f>'2003'!$G37</f>
        <v>2.8492819862355319</v>
      </c>
      <c r="F41" s="14">
        <f>'2004'!$G37</f>
        <v>2.7863471586010617</v>
      </c>
      <c r="G41" s="14">
        <f>'2005'!$G37</f>
        <v>2.8565062500156468</v>
      </c>
      <c r="H41" s="14">
        <f>'2006'!$G37</f>
        <v>3.6294834795924378</v>
      </c>
      <c r="I41" s="14">
        <f>'2007'!$G37</f>
        <v>2.9709068512010433</v>
      </c>
      <c r="J41" s="14">
        <f>'2008'!$G37</f>
        <v>3.5584437489458201</v>
      </c>
      <c r="K41" s="14">
        <f>'2009'!$G37</f>
        <v>4.4660656917246033</v>
      </c>
      <c r="L41" s="14">
        <f>'2010'!$G37</f>
        <v>4.7161230466973487</v>
      </c>
      <c r="M41" s="14">
        <f>'2011'!$G37</f>
        <v>3.9158233629054866</v>
      </c>
      <c r="N41" s="14">
        <f>'2012'!$G37</f>
        <v>4.7039491503999713</v>
      </c>
      <c r="O41" s="14">
        <f>'2013'!$G37</f>
        <v>4.8830273408706892</v>
      </c>
      <c r="P41" s="14">
        <f>'2014'!$G37</f>
        <v>4.5296700235844209</v>
      </c>
      <c r="Q41" s="14">
        <f>'2015'!$G37</f>
        <v>4.190088273945082</v>
      </c>
      <c r="R41" s="14">
        <f>'2016'!$G37</f>
        <v>3.872906015791135</v>
      </c>
      <c r="S41" s="14">
        <f>'2017'!$G37</f>
        <v>3.9918220840734167</v>
      </c>
      <c r="T41" s="14">
        <f>'2018'!$G37</f>
        <v>3.9342429296826271</v>
      </c>
      <c r="U41" s="14">
        <f>'2019'!$G37</f>
        <v>4.9870094038121078</v>
      </c>
      <c r="V41" s="14">
        <f>'2020'!$G37</f>
        <v>3.4616673925982346</v>
      </c>
      <c r="W41" s="14">
        <f>'2021'!$G37</f>
        <v>3.9865643910881068</v>
      </c>
      <c r="X41" s="14">
        <f>'2022'!$G37</f>
        <v>4.2253489096644055</v>
      </c>
    </row>
    <row r="42" spans="2:24" ht="20.100000000000001" customHeight="1" thickBot="1" x14ac:dyDescent="0.25">
      <c r="B42" s="9" t="s">
        <v>57</v>
      </c>
      <c r="C42" s="14">
        <f>'2001'!$G38</f>
        <v>6.9371781668383106</v>
      </c>
      <c r="D42" s="14">
        <f>'2002'!$G38</f>
        <v>7.6841855039775337</v>
      </c>
      <c r="E42" s="14">
        <f>'2003'!$G38</f>
        <v>8.5073451091780576</v>
      </c>
      <c r="F42" s="14">
        <f>'2004'!$G38</f>
        <v>9.7669980917947168</v>
      </c>
      <c r="G42" s="14">
        <f>'2005'!$G38</f>
        <v>6.8843061866480246</v>
      </c>
      <c r="H42" s="14">
        <f>'2006'!$G38</f>
        <v>7.1509695873469905</v>
      </c>
      <c r="I42" s="14">
        <f>'2007'!$G38</f>
        <v>6.5066333310809288</v>
      </c>
      <c r="J42" s="14">
        <f>'2008'!$G38</f>
        <v>8.6542220622192723</v>
      </c>
      <c r="K42" s="14">
        <f>'2009'!$G38</f>
        <v>8.4291727079491547</v>
      </c>
      <c r="L42" s="14">
        <f>'2010'!$G38</f>
        <v>7.8754412962795328</v>
      </c>
      <c r="M42" s="14">
        <f>'2011'!$G38</f>
        <v>8.3890421870110661</v>
      </c>
      <c r="N42" s="14">
        <f>'2012'!$G38</f>
        <v>9.3521963187370662</v>
      </c>
      <c r="O42" s="14">
        <f>'2013'!$G38</f>
        <v>10.352451554168294</v>
      </c>
      <c r="P42" s="14">
        <f>'2014'!$G38</f>
        <v>11.366951812993802</v>
      </c>
      <c r="Q42" s="14">
        <f>'2015'!$G38</f>
        <v>8.2973369555609242</v>
      </c>
      <c r="R42" s="14">
        <f>'2016'!$G38</f>
        <v>8.9799629747390242</v>
      </c>
      <c r="S42" s="14">
        <f>'2017'!$G38</f>
        <v>9.2256784380488792</v>
      </c>
      <c r="T42" s="14">
        <f>'2018'!$G38</f>
        <v>9.4166789908459005</v>
      </c>
      <c r="U42" s="14">
        <f>'2019'!$G38</f>
        <v>9.6150637009348063</v>
      </c>
      <c r="V42" s="14">
        <f>'2020'!$G38</f>
        <v>9.4344800668402726</v>
      </c>
      <c r="W42" s="14">
        <f>'2021'!$G38</f>
        <v>11.355375399140526</v>
      </c>
      <c r="X42" s="14">
        <f>'2022'!$G38</f>
        <v>10.232720781073148</v>
      </c>
    </row>
    <row r="43" spans="2:24" ht="20.100000000000001" customHeight="1" thickBot="1" x14ac:dyDescent="0.25">
      <c r="B43" s="9" t="s">
        <v>58</v>
      </c>
      <c r="C43" s="14">
        <f>'2001'!$G39</f>
        <v>6.5609008060221505</v>
      </c>
      <c r="D43" s="14">
        <f>'2002'!$G39</f>
        <v>7.9058799179034693</v>
      </c>
      <c r="E43" s="14">
        <f>'2003'!$G39</f>
        <v>8.675555723418773</v>
      </c>
      <c r="F43" s="14">
        <f>'2004'!$G39</f>
        <v>6.8635958096267782</v>
      </c>
      <c r="G43" s="14">
        <f>'2005'!$G39</f>
        <v>6.1361707792720601</v>
      </c>
      <c r="H43" s="14">
        <f>'2006'!$G39</f>
        <v>6.4107567961894638</v>
      </c>
      <c r="I43" s="14">
        <f>'2007'!$G39</f>
        <v>6.5291072923985425</v>
      </c>
      <c r="J43" s="14">
        <f>'2008'!$G39</f>
        <v>8.9879230912243333</v>
      </c>
      <c r="K43" s="14">
        <f>'2009'!$G39</f>
        <v>10.313872137671106</v>
      </c>
      <c r="L43" s="14">
        <f>'2010'!$G39</f>
        <v>9.6412829610490309</v>
      </c>
      <c r="M43" s="14">
        <f>'2011'!$G39</f>
        <v>8.7022780784260547</v>
      </c>
      <c r="N43" s="14">
        <f>'2012'!$G39</f>
        <v>9.510568495174315</v>
      </c>
      <c r="O43" s="14">
        <f>'2013'!$G39</f>
        <v>9.6770851310381527</v>
      </c>
      <c r="P43" s="14">
        <f>'2014'!$G39</f>
        <v>9.152769256511796</v>
      </c>
      <c r="Q43" s="14">
        <f>'2015'!$G39</f>
        <v>8.5569417784320514</v>
      </c>
      <c r="R43" s="14">
        <f>'2016'!$G39</f>
        <v>8.0938661474353779</v>
      </c>
      <c r="S43" s="14">
        <f>'2017'!$G39</f>
        <v>9.0430822303472596</v>
      </c>
      <c r="T43" s="14">
        <f>'2018'!$G39</f>
        <v>8.749514865966189</v>
      </c>
      <c r="U43" s="14">
        <f>'2019'!$G39</f>
        <v>9.144439005107607</v>
      </c>
      <c r="V43" s="14">
        <f>'2020'!$G39</f>
        <v>9.0899731676983464</v>
      </c>
      <c r="W43" s="14">
        <f>'2021'!$G39</f>
        <v>9.4604688819894278</v>
      </c>
      <c r="X43" s="14">
        <f>'2022'!$G39</f>
        <v>8.6204764124456332</v>
      </c>
    </row>
    <row r="44" spans="2:24" ht="20.100000000000001" customHeight="1" thickBot="1" x14ac:dyDescent="0.25">
      <c r="B44" s="9" t="s">
        <v>59</v>
      </c>
      <c r="C44" s="14">
        <f>'2001'!$G40</f>
        <v>9.1465474874063144</v>
      </c>
      <c r="D44" s="14">
        <f>'2002'!$G40</f>
        <v>11.350290599318802</v>
      </c>
      <c r="E44" s="14">
        <f>'2003'!$G40</f>
        <v>10.56375419124439</v>
      </c>
      <c r="F44" s="14">
        <f>'2004'!$G40</f>
        <v>9.8453064363252683</v>
      </c>
      <c r="G44" s="14">
        <f>'2005'!$G40</f>
        <v>9.241032634310093</v>
      </c>
      <c r="H44" s="14">
        <f>'2006'!$G40</f>
        <v>8.7454661644606286</v>
      </c>
      <c r="I44" s="14">
        <f>'2007'!$G40</f>
        <v>8.3768087864236644</v>
      </c>
      <c r="J44" s="14">
        <f>'2008'!$G40</f>
        <v>10.229897630657964</v>
      </c>
      <c r="K44" s="14">
        <f>'2009'!$G40</f>
        <v>11.978145314575398</v>
      </c>
      <c r="L44" s="14">
        <f>'2010'!$G40</f>
        <v>10.685548880841125</v>
      </c>
      <c r="M44" s="14">
        <f>'2011'!$G40</f>
        <v>9.3109537484615519</v>
      </c>
      <c r="N44" s="14">
        <f>'2012'!$G40</f>
        <v>9.8574247241785677</v>
      </c>
      <c r="O44" s="14">
        <f>'2013'!$G40</f>
        <v>9.0967992116147691</v>
      </c>
      <c r="P44" s="14">
        <f>'2014'!$G40</f>
        <v>8.8300139090290326</v>
      </c>
      <c r="Q44" s="14">
        <f>'2015'!$G40</f>
        <v>7.9301498551541378</v>
      </c>
      <c r="R44" s="14">
        <f>'2016'!$G40</f>
        <v>7.4559718357231155</v>
      </c>
      <c r="S44" s="14">
        <f>'2017'!$G40</f>
        <v>8.3968318701839504</v>
      </c>
      <c r="T44" s="14">
        <f>'2018'!$G40</f>
        <v>8.0499853453828205</v>
      </c>
      <c r="U44" s="14">
        <f>'2019'!$G40</f>
        <v>8.7634681983529763</v>
      </c>
      <c r="V44" s="14">
        <f>'2020'!$G40</f>
        <v>9.2448040239157265</v>
      </c>
      <c r="W44" s="14">
        <f>'2021'!$G40</f>
        <v>8.8703394743375839</v>
      </c>
      <c r="X44" s="14">
        <f>'2022'!$G40</f>
        <v>8.4663648356884753</v>
      </c>
    </row>
    <row r="45" spans="2:24" ht="20.100000000000001" customHeight="1" thickBot="1" x14ac:dyDescent="0.25">
      <c r="B45" s="9" t="s">
        <v>60</v>
      </c>
      <c r="C45" s="14">
        <f>'2001'!$G41</f>
        <v>7.4413337612086243</v>
      </c>
      <c r="D45" s="14">
        <f>'2002'!$G41</f>
        <v>7.6984954274392763</v>
      </c>
      <c r="E45" s="14">
        <f>'2003'!$G41</f>
        <v>8.1773988953932708</v>
      </c>
      <c r="F45" s="14">
        <f>'2004'!$G41</f>
        <v>5.8469414394443779</v>
      </c>
      <c r="G45" s="14">
        <f>'2005'!$G41</f>
        <v>6.6035730113670388</v>
      </c>
      <c r="H45" s="14">
        <f>'2006'!$G41</f>
        <v>6.800670799076995</v>
      </c>
      <c r="I45" s="14">
        <f>'2007'!$G41</f>
        <v>5.9075494372958595</v>
      </c>
      <c r="J45" s="14">
        <f>'2008'!$G41</f>
        <v>8.9551359678678129</v>
      </c>
      <c r="K45" s="14">
        <f>'2009'!$G41</f>
        <v>12.679396067804108</v>
      </c>
      <c r="L45" s="14">
        <f>'2010'!$G41</f>
        <v>8.6451310176137959</v>
      </c>
      <c r="M45" s="14">
        <f>'2011'!$G41</f>
        <v>7.9336412100384397</v>
      </c>
      <c r="N45" s="14">
        <f>'2012'!$G41</f>
        <v>8.151519652426094</v>
      </c>
      <c r="O45" s="14">
        <f>'2013'!$G41</f>
        <v>7.5697208448903535</v>
      </c>
      <c r="P45" s="14">
        <f>'2014'!$G41</f>
        <v>6.5938650875568747</v>
      </c>
      <c r="Q45" s="14">
        <f>'2015'!$G41</f>
        <v>6.5004280005016053</v>
      </c>
      <c r="R45" s="14">
        <f>'2016'!$G41</f>
        <v>5.9924347047848681</v>
      </c>
      <c r="S45" s="14">
        <f>'2017'!$G41</f>
        <v>6.6667890929099558</v>
      </c>
      <c r="T45" s="14">
        <f>'2018'!$G41</f>
        <v>6.4720607043988228</v>
      </c>
      <c r="U45" s="14">
        <f>'2019'!$G41</f>
        <v>7.171172329034512</v>
      </c>
      <c r="V45" s="14">
        <f>'2020'!$G41</f>
        <v>7.0153799732804147</v>
      </c>
      <c r="W45" s="14">
        <f>'2021'!$G41</f>
        <v>6.3359161691316217</v>
      </c>
      <c r="X45" s="14">
        <f>'2022'!$G41</f>
        <v>7.0359555504627638</v>
      </c>
    </row>
    <row r="46" spans="2:24" ht="20.100000000000001" customHeight="1" thickBot="1" x14ac:dyDescent="0.25">
      <c r="B46" s="9" t="s">
        <v>61</v>
      </c>
      <c r="C46" s="14">
        <f>'2001'!$G42</f>
        <v>4.0394561565302745</v>
      </c>
      <c r="D46" s="14">
        <f>'2002'!$G42</f>
        <v>4.0342118013861681</v>
      </c>
      <c r="E46" s="14">
        <f>'2003'!$G42</f>
        <v>4.5260372529011947</v>
      </c>
      <c r="F46" s="14">
        <f>'2004'!$G42</f>
        <v>4.2258531229584735</v>
      </c>
      <c r="G46" s="14">
        <f>'2005'!$G42</f>
        <v>4.2428286422948345</v>
      </c>
      <c r="H46" s="14">
        <f>'2006'!$G42</f>
        <v>4.4045763731279308</v>
      </c>
      <c r="I46" s="14">
        <f>'2007'!$G42</f>
        <v>3.9925661356449176</v>
      </c>
      <c r="J46" s="14">
        <f>'2008'!$G42</f>
        <v>4.6084880645156092</v>
      </c>
      <c r="K46" s="14">
        <f>'2009'!$G42</f>
        <v>6.1499132541890136</v>
      </c>
      <c r="L46" s="14">
        <f>'2010'!$G42</f>
        <v>5.7385182533551884</v>
      </c>
      <c r="M46" s="14">
        <f>'2011'!$G42</f>
        <v>5.965258211575093</v>
      </c>
      <c r="N46" s="14">
        <f>'2012'!$G42</f>
        <v>7.4127397349534414</v>
      </c>
      <c r="O46" s="14">
        <f>'2013'!$G42</f>
        <v>8.3137179449382987</v>
      </c>
      <c r="P46" s="14">
        <f>'2014'!$G42</f>
        <v>6.9898094539552744</v>
      </c>
      <c r="Q46" s="14">
        <f>'2015'!$G42</f>
        <v>6.101711851810216</v>
      </c>
      <c r="R46" s="14">
        <f>'2016'!$G42</f>
        <v>5.4007901387191382</v>
      </c>
      <c r="S46" s="14">
        <f>'2017'!$G42</f>
        <v>5.4536918135546317</v>
      </c>
      <c r="T46" s="14">
        <f>'2018'!$G42</f>
        <v>5.4250301905323726</v>
      </c>
      <c r="U46" s="14">
        <f>'2019'!$G42</f>
        <v>5.6036709700495555</v>
      </c>
      <c r="V46" s="14">
        <f>'2020'!$G42</f>
        <v>5.2677190005399295</v>
      </c>
      <c r="W46" s="14">
        <f>'2021'!$G42</f>
        <v>6.6224564914736437</v>
      </c>
      <c r="X46" s="14">
        <f>'2022'!$G42</f>
        <v>7.2543183525638018</v>
      </c>
    </row>
    <row r="47" spans="2:24" ht="20.100000000000001" customHeight="1" thickBot="1" x14ac:dyDescent="0.25">
      <c r="B47" s="9" t="s">
        <v>62</v>
      </c>
      <c r="C47" s="14">
        <f>'2001'!$G43</f>
        <v>8.7864129788203336</v>
      </c>
      <c r="D47" s="14">
        <f>'2002'!$G43</f>
        <v>8.971166600730724</v>
      </c>
      <c r="E47" s="14">
        <f>'2003'!$G43</f>
        <v>8.9739431289869174</v>
      </c>
      <c r="F47" s="14">
        <f>'2004'!$G43</f>
        <v>8.5552727636087909</v>
      </c>
      <c r="G47" s="14">
        <f>'2005'!$G43</f>
        <v>8.7320169044779199</v>
      </c>
      <c r="H47" s="14">
        <f>'2006'!$G43</f>
        <v>8.2056036684569982</v>
      </c>
      <c r="I47" s="14">
        <f>'2007'!$G43</f>
        <v>7.6723078658221686</v>
      </c>
      <c r="J47" s="14">
        <f>'2008'!$G43</f>
        <v>9.5715845628817693</v>
      </c>
      <c r="K47" s="14">
        <f>'2009'!$G43</f>
        <v>10.335416902533055</v>
      </c>
      <c r="L47" s="14">
        <f>'2010'!$G43</f>
        <v>9.6891882620018563</v>
      </c>
      <c r="M47" s="14">
        <f>'2011'!$G43</f>
        <v>10.316362447000364</v>
      </c>
      <c r="N47" s="14">
        <f>'2012'!$G43</f>
        <v>10.198118435036957</v>
      </c>
      <c r="O47" s="14">
        <f>'2013'!$G43</f>
        <v>10.433883032773839</v>
      </c>
      <c r="P47" s="14">
        <f>'2014'!$G43</f>
        <v>11.731561032973101</v>
      </c>
      <c r="Q47" s="14">
        <f>'2015'!$G43</f>
        <v>10.512231815597803</v>
      </c>
      <c r="R47" s="14">
        <f>'2016'!$G43</f>
        <v>10.455672964843911</v>
      </c>
      <c r="S47" s="14">
        <f>'2017'!$G43</f>
        <v>11.877566735112937</v>
      </c>
      <c r="T47" s="14">
        <f>'2018'!$G43</f>
        <v>11.626515957360819</v>
      </c>
      <c r="U47" s="14">
        <f>'2019'!$G43</f>
        <v>12.088372864057</v>
      </c>
      <c r="V47" s="14">
        <f>'2020'!$G43</f>
        <v>10.790803848035219</v>
      </c>
      <c r="W47" s="14">
        <f>'2021'!$G43</f>
        <v>13.121553749225976</v>
      </c>
      <c r="X47" s="14">
        <f>'2022'!$G43</f>
        <v>11.640669281148538</v>
      </c>
    </row>
    <row r="48" spans="2:24" ht="20.100000000000001" customHeight="1" thickBot="1" x14ac:dyDescent="0.25">
      <c r="B48" s="9" t="s">
        <v>63</v>
      </c>
      <c r="C48" s="14">
        <f>'2001'!$G44</f>
        <v>6.3604838027573374</v>
      </c>
      <c r="D48" s="14">
        <f>'2002'!$G44</f>
        <v>9.4875798438608943</v>
      </c>
      <c r="E48" s="14">
        <f>'2003'!$G44</f>
        <v>7.6836506766754065</v>
      </c>
      <c r="F48" s="14">
        <f>'2004'!$G44</f>
        <v>7.4084717512500715</v>
      </c>
      <c r="G48" s="14">
        <f>'2005'!$G44</f>
        <v>6.2085305324809337</v>
      </c>
      <c r="H48" s="14">
        <f>'2006'!$G44</f>
        <v>5.9311706987461958</v>
      </c>
      <c r="I48" s="14">
        <f>'2007'!$G44</f>
        <v>5.5228213133580724</v>
      </c>
      <c r="J48" s="14">
        <f>'2008'!$G44</f>
        <v>7.0623911815236315</v>
      </c>
      <c r="K48" s="14">
        <f>'2009'!$G44</f>
        <v>7.7781496312880103</v>
      </c>
      <c r="L48" s="14">
        <f>'2010'!$G44</f>
        <v>7.8893977160744297</v>
      </c>
      <c r="M48" s="14">
        <f>'2011'!$G44</f>
        <v>8.5979914719108983</v>
      </c>
      <c r="N48" s="14">
        <f>'2012'!$G44</f>
        <v>9.3197354624428144</v>
      </c>
      <c r="O48" s="14">
        <f>'2013'!$G44</f>
        <v>9.1503654819330578</v>
      </c>
      <c r="P48" s="14">
        <f>'2014'!$G44</f>
        <v>8.1857179507067048</v>
      </c>
      <c r="Q48" s="14">
        <f>'2015'!$G44</f>
        <v>7.9441081699641645</v>
      </c>
      <c r="R48" s="14">
        <f>'2016'!$G44</f>
        <v>7.0637253711037147</v>
      </c>
      <c r="S48" s="14">
        <f>'2017'!$G44</f>
        <v>7.4300752800048961</v>
      </c>
      <c r="T48" s="14">
        <f>'2018'!$G44</f>
        <v>7.0108309933039159</v>
      </c>
      <c r="U48" s="14">
        <f>'2019'!$G44</f>
        <v>7.8394831656106341</v>
      </c>
      <c r="V48" s="14">
        <f>'2020'!$G44</f>
        <v>8.5016934774608437</v>
      </c>
      <c r="W48" s="14">
        <f>'2021'!$G44</f>
        <v>8.9301986513577543</v>
      </c>
      <c r="X48" s="14">
        <f>'2022'!$G44</f>
        <v>8.8045097188967034</v>
      </c>
    </row>
    <row r="49" spans="2:24" ht="20.100000000000001" customHeight="1" thickBot="1" x14ac:dyDescent="0.25">
      <c r="B49" s="9" t="s">
        <v>64</v>
      </c>
      <c r="C49" s="14">
        <f>'2001'!$G45</f>
        <v>9.4347785644599913</v>
      </c>
      <c r="D49" s="14">
        <f>'2002'!$G45</f>
        <v>11.555806977015616</v>
      </c>
      <c r="E49" s="14">
        <f>'2003'!$G45</f>
        <v>11.706747406610411</v>
      </c>
      <c r="F49" s="14">
        <f>'2004'!$G45</f>
        <v>11.087721146599023</v>
      </c>
      <c r="G49" s="14">
        <f>'2005'!$G45</f>
        <v>11.65596761824952</v>
      </c>
      <c r="H49" s="14">
        <f>'2006'!$G45</f>
        <v>11.103451912055037</v>
      </c>
      <c r="I49" s="14">
        <f>'2007'!$G45</f>
        <v>11.438101351941359</v>
      </c>
      <c r="J49" s="14">
        <f>'2008'!$G45</f>
        <v>15.365895599383945</v>
      </c>
      <c r="K49" s="14">
        <f>'2009'!$G45</f>
        <v>13.834769109793983</v>
      </c>
      <c r="L49" s="14">
        <f>'2010'!$G45</f>
        <v>13.525520238766557</v>
      </c>
      <c r="M49" s="14">
        <f>'2011'!$G45</f>
        <v>13.129683312366678</v>
      </c>
      <c r="N49" s="14">
        <f>'2012'!$G45</f>
        <v>12.329069514985743</v>
      </c>
      <c r="O49" s="14">
        <f>'2013'!$G45</f>
        <v>12.834171309507633</v>
      </c>
      <c r="P49" s="14">
        <f>'2014'!$G45</f>
        <v>11.39699298289951</v>
      </c>
      <c r="Q49" s="14">
        <f>'2015'!$G45</f>
        <v>11.108824970001985</v>
      </c>
      <c r="R49" s="14">
        <f>'2016'!$G45</f>
        <v>11.069411550373474</v>
      </c>
      <c r="S49" s="14">
        <f>'2017'!$G45</f>
        <v>11.890266065716778</v>
      </c>
      <c r="T49" s="14">
        <f>'2018'!$G45</f>
        <v>13.721910428922397</v>
      </c>
      <c r="U49" s="14">
        <f>'2019'!$G45</f>
        <v>16.454749439042633</v>
      </c>
      <c r="V49" s="14">
        <f>'2020'!$G45</f>
        <v>13.697709680699164</v>
      </c>
      <c r="W49" s="14">
        <f>'2021'!$G45</f>
        <v>13.160378152638057</v>
      </c>
      <c r="X49" s="14">
        <f>'2022'!$G45</f>
        <v>14.48509976172733</v>
      </c>
    </row>
    <row r="50" spans="2:24" ht="20.100000000000001" customHeight="1" thickBot="1" x14ac:dyDescent="0.25">
      <c r="B50" s="9" t="s">
        <v>65</v>
      </c>
      <c r="C50" s="14">
        <f>'2001'!$G46</f>
        <v>7.2966329613524037</v>
      </c>
      <c r="D50" s="14">
        <f>'2002'!$G46</f>
        <v>7.6788117408422778</v>
      </c>
      <c r="E50" s="14">
        <f>'2003'!$G46</f>
        <v>7.2955242546264101</v>
      </c>
      <c r="F50" s="14">
        <f>'2004'!$G46</f>
        <v>7.9404381205481398</v>
      </c>
      <c r="G50" s="14">
        <f>'2005'!$G46</f>
        <v>7.6872167117299064</v>
      </c>
      <c r="H50" s="14">
        <f>'2006'!$G46</f>
        <v>7.3098035556564032</v>
      </c>
      <c r="I50" s="14">
        <f>'2007'!$G46</f>
        <v>7.3044693179575768</v>
      </c>
      <c r="J50" s="14">
        <f>'2008'!$G46</f>
        <v>8.7948395217117685</v>
      </c>
      <c r="K50" s="14">
        <f>'2009'!$G46</f>
        <v>9.8274159064103266</v>
      </c>
      <c r="L50" s="14">
        <f>'2010'!$G46</f>
        <v>9.9192495989493725</v>
      </c>
      <c r="M50" s="14">
        <f>'2011'!$G46</f>
        <v>10.005075188555191</v>
      </c>
      <c r="N50" s="14">
        <f>'2012'!$G46</f>
        <v>10.364889172686942</v>
      </c>
      <c r="O50" s="14">
        <f>'2013'!$G46</f>
        <v>10.639233547981782</v>
      </c>
      <c r="P50" s="14">
        <f>'2014'!$G46</f>
        <v>9.870451636785047</v>
      </c>
      <c r="Q50" s="14">
        <f>'2015'!$G46</f>
        <v>8.4106171374768568</v>
      </c>
      <c r="R50" s="14">
        <f>'2016'!$G46</f>
        <v>8.7012599195633804</v>
      </c>
      <c r="S50" s="14">
        <f>'2017'!$G46</f>
        <v>8.4785585707906073</v>
      </c>
      <c r="T50" s="14">
        <f>'2018'!$G46</f>
        <v>8.7738858237450259</v>
      </c>
      <c r="U50" s="14">
        <f>'2019'!$G46</f>
        <v>9.4201015206886858</v>
      </c>
      <c r="V50" s="14">
        <f>'2020'!$G46</f>
        <v>8.5539788112645549</v>
      </c>
      <c r="W50" s="14">
        <f>'2021'!$G46</f>
        <v>10.053215429827116</v>
      </c>
      <c r="X50" s="14">
        <f>'2022'!$G46</f>
        <v>9.4834661512800835</v>
      </c>
    </row>
    <row r="51" spans="2:24" ht="20.100000000000001" customHeight="1" thickBot="1" x14ac:dyDescent="0.25">
      <c r="B51" s="9" t="s">
        <v>30</v>
      </c>
      <c r="C51" s="14">
        <f>'2001'!$G47</f>
        <v>5.2181952662721889</v>
      </c>
      <c r="D51" s="14">
        <f>'2002'!$G47</f>
        <v>6.3881767241685425</v>
      </c>
      <c r="E51" s="14">
        <f>'2003'!$G47</f>
        <v>6.7991231427676677</v>
      </c>
      <c r="F51" s="14">
        <f>'2004'!$G47</f>
        <v>8.434592731125214</v>
      </c>
      <c r="G51" s="14">
        <f>'2005'!$G47</f>
        <v>6.8984070890515596</v>
      </c>
      <c r="H51" s="14">
        <f>'2006'!$G47</f>
        <v>7.5495223205397268</v>
      </c>
      <c r="I51" s="14">
        <f>'2007'!$G47</f>
        <v>7.7969239532896619</v>
      </c>
      <c r="J51" s="14">
        <f>'2008'!$G47</f>
        <v>8.3621783868397266</v>
      </c>
      <c r="K51" s="14">
        <f>'2009'!$G47</f>
        <v>11.401856376398033</v>
      </c>
      <c r="L51" s="14">
        <f>'2010'!$G47</f>
        <v>9.1434951847773824</v>
      </c>
      <c r="M51" s="14">
        <f>'2011'!$G47</f>
        <v>7.8617764084779607</v>
      </c>
      <c r="N51" s="14">
        <f>'2012'!$G47</f>
        <v>8.9614318514009188</v>
      </c>
      <c r="O51" s="14">
        <f>'2013'!$G47</f>
        <v>10.340747825492894</v>
      </c>
      <c r="P51" s="14">
        <f>'2014'!$G47</f>
        <v>9.0375608930351525</v>
      </c>
      <c r="Q51" s="14">
        <f>'2015'!$G47</f>
        <v>8.2446783345371273</v>
      </c>
      <c r="R51" s="14">
        <f>'2016'!$G47</f>
        <v>6.9602335699854967</v>
      </c>
      <c r="S51" s="14">
        <f>'2017'!$G47</f>
        <v>6.2369007644721783</v>
      </c>
      <c r="T51" s="14">
        <f>'2018'!$G47</f>
        <v>6.9660251841292471</v>
      </c>
      <c r="U51" s="14">
        <f>'2019'!$G47</f>
        <v>6.467843862650648</v>
      </c>
      <c r="V51" s="14">
        <f>'2020'!$G47</f>
        <v>5.6890289265240028</v>
      </c>
      <c r="W51" s="14">
        <f>'2021'!$G47</f>
        <v>6.9387984840335717</v>
      </c>
      <c r="X51" s="14">
        <f>'2022'!$G47</f>
        <v>7.1295450849916824</v>
      </c>
    </row>
    <row r="52" spans="2:24" ht="20.100000000000001" customHeight="1" thickBot="1" x14ac:dyDescent="0.25">
      <c r="B52" s="9" t="s">
        <v>66</v>
      </c>
      <c r="C52" s="14">
        <f>'2001'!$G48</f>
        <v>4.337409946631869</v>
      </c>
      <c r="D52" s="14">
        <f>'2002'!$G48</f>
        <v>8.3688637935008074</v>
      </c>
      <c r="E52" s="14">
        <f>'2003'!$G48</f>
        <v>6.2566219983863141</v>
      </c>
      <c r="F52" s="14">
        <f>'2004'!$G48</f>
        <v>5.4817313609737202</v>
      </c>
      <c r="G52" s="14">
        <f>'2005'!$G48</f>
        <v>5.5361024249887913</v>
      </c>
      <c r="H52" s="14">
        <f>'2006'!$G48</f>
        <v>5.4034153663164446</v>
      </c>
      <c r="I52" s="14">
        <f>'2007'!$G48</f>
        <v>4.9213550946983711</v>
      </c>
      <c r="J52" s="14">
        <f>'2008'!$G48</f>
        <v>5.7497934375389077</v>
      </c>
      <c r="K52" s="14">
        <f>'2009'!$G48</f>
        <v>6.3760546857374898</v>
      </c>
      <c r="L52" s="14">
        <f>'2010'!$G48</f>
        <v>6.4928637884276581</v>
      </c>
      <c r="M52" s="14">
        <f>'2011'!$G48</f>
        <v>6.6008283614647603</v>
      </c>
      <c r="N52" s="14">
        <f>'2012'!$G48</f>
        <v>7.0429365251423421</v>
      </c>
      <c r="O52" s="14">
        <f>'2013'!$G48</f>
        <v>6.6503061803280588</v>
      </c>
      <c r="P52" s="14">
        <f>'2014'!$G48</f>
        <v>5.6503114241412842</v>
      </c>
      <c r="Q52" s="14">
        <f>'2015'!$G48</f>
        <v>5.0943590801278749</v>
      </c>
      <c r="R52" s="14">
        <f>'2016'!$G48</f>
        <v>4.6936619194309275</v>
      </c>
      <c r="S52" s="14">
        <f>'2017'!$G48</f>
        <v>5.1947974088962026</v>
      </c>
      <c r="T52" s="14">
        <f>'2018'!$G48</f>
        <v>5.6143335957981497</v>
      </c>
      <c r="U52" s="14">
        <f>'2019'!$G48</f>
        <v>6.0069247756112185</v>
      </c>
      <c r="V52" s="14">
        <f>'2020'!$G48</f>
        <v>5.5520964631201695</v>
      </c>
      <c r="W52" s="14">
        <f>'2021'!$G48</f>
        <v>6.6781125320005623</v>
      </c>
      <c r="X52" s="14">
        <f>'2022'!$G48</f>
        <v>6.2045958611588024</v>
      </c>
    </row>
    <row r="53" spans="2:24" ht="20.100000000000001" customHeight="1" thickBot="1" x14ac:dyDescent="0.25">
      <c r="B53" s="9" t="s">
        <v>67</v>
      </c>
      <c r="C53" s="14">
        <f>'2001'!$G49</f>
        <v>6.0468623075414794</v>
      </c>
      <c r="D53" s="14">
        <f>'2002'!$G49</f>
        <v>7.1691172352299377</v>
      </c>
      <c r="E53" s="14">
        <f>'2003'!$G49</f>
        <v>4.766941050759236</v>
      </c>
      <c r="F53" s="14">
        <f>'2004'!$G49</f>
        <v>5.8562362399451962</v>
      </c>
      <c r="G53" s="14">
        <f>'2005'!$G49</f>
        <v>5.7541574650337957</v>
      </c>
      <c r="H53" s="14">
        <f>'2006'!$G49</f>
        <v>5.8632404566679055</v>
      </c>
      <c r="I53" s="14">
        <f>'2007'!$G49</f>
        <v>6.4798438738793678</v>
      </c>
      <c r="J53" s="14">
        <f>'2008'!$G49</f>
        <v>8.0810309999840957</v>
      </c>
      <c r="K53" s="14">
        <f>'2009'!$G49</f>
        <v>8.3322717518055054</v>
      </c>
      <c r="L53" s="14">
        <f>'2010'!$G49</f>
        <v>8.3226806911862266</v>
      </c>
      <c r="M53" s="14">
        <f>'2011'!$G49</f>
        <v>7.3665576152007839</v>
      </c>
      <c r="N53" s="14">
        <f>'2012'!$G49</f>
        <v>7.885754832039515</v>
      </c>
      <c r="O53" s="14">
        <f>'2013'!$G49</f>
        <v>8.8675037863521844</v>
      </c>
      <c r="P53" s="14">
        <f>'2014'!$G49</f>
        <v>7.5568179556284507</v>
      </c>
      <c r="Q53" s="14">
        <f>'2015'!$G49</f>
        <v>7.563629104701068</v>
      </c>
      <c r="R53" s="14">
        <f>'2016'!$G49</f>
        <v>7.0011273508052794</v>
      </c>
      <c r="S53" s="14">
        <f>'2017'!$G49</f>
        <v>7.5483232619553995</v>
      </c>
      <c r="T53" s="14">
        <f>'2018'!$G49</f>
        <v>8.204141343727601</v>
      </c>
      <c r="U53" s="14">
        <f>'2019'!$G49</f>
        <v>9.4541730115597247</v>
      </c>
      <c r="V53" s="14">
        <f>'2020'!$G49</f>
        <v>8.1559058539344438</v>
      </c>
      <c r="W53" s="14">
        <f>'2021'!$G49</f>
        <v>8.1692446895600845</v>
      </c>
      <c r="X53" s="14">
        <f>'2022'!$G49</f>
        <v>9.3057769734920832</v>
      </c>
    </row>
    <row r="54" spans="2:24" ht="20.100000000000001" customHeight="1" thickBot="1" x14ac:dyDescent="0.25">
      <c r="B54" s="9" t="s">
        <v>68</v>
      </c>
      <c r="C54" s="14">
        <f>'2001'!$G50</f>
        <v>4.9922463748401666</v>
      </c>
      <c r="D54" s="14">
        <f>'2002'!$G50</f>
        <v>3.7846817518052598</v>
      </c>
      <c r="E54" s="14">
        <f>'2003'!$G50</f>
        <v>4.173827645470169</v>
      </c>
      <c r="F54" s="14">
        <f>'2004'!$G50</f>
        <v>4.5859538784067091</v>
      </c>
      <c r="G54" s="14">
        <f>'2005'!$G50</f>
        <v>4.2953503475504284</v>
      </c>
      <c r="H54" s="14">
        <f>'2006'!$G50</f>
        <v>3.5377207882603865</v>
      </c>
      <c r="I54" s="14">
        <f>'2007'!$G50</f>
        <v>4.3747881648485452</v>
      </c>
      <c r="J54" s="14">
        <f>'2008'!$G50</f>
        <v>5.1190062172435464</v>
      </c>
      <c r="K54" s="14">
        <f>'2009'!$G50</f>
        <v>5.1075497106530623</v>
      </c>
      <c r="L54" s="14">
        <f>'2010'!$G50</f>
        <v>5.2231718898385564</v>
      </c>
      <c r="M54" s="14">
        <f>'2011'!$G50</f>
        <v>5.3237822000499486</v>
      </c>
      <c r="N54" s="14">
        <f>'2012'!$G50</f>
        <v>5.8521328519679168</v>
      </c>
      <c r="O54" s="14">
        <f>'2013'!$G50</f>
        <v>7.3777689824491963</v>
      </c>
      <c r="P54" s="14">
        <f>'2014'!$G50</f>
        <v>5.1348687720884101</v>
      </c>
      <c r="Q54" s="14">
        <f>'2015'!$G50</f>
        <v>5.1278796725264968</v>
      </c>
      <c r="R54" s="14">
        <f>'2016'!$G50</f>
        <v>4.9662066661526998</v>
      </c>
      <c r="S54" s="14">
        <f>'2017'!$G50</f>
        <v>5.02646188969024</v>
      </c>
      <c r="T54" s="14">
        <f>'2018'!$G50</f>
        <v>5.1453613491411359</v>
      </c>
      <c r="U54" s="14">
        <f>'2019'!$G50</f>
        <v>5.4921014308197664</v>
      </c>
      <c r="V54" s="14">
        <f>'2020'!$G50</f>
        <v>5.9943444663078749</v>
      </c>
      <c r="W54" s="14">
        <f>'2021'!$G50</f>
        <v>7.5815258064726052</v>
      </c>
      <c r="X54" s="14">
        <f>'2022'!$G50</f>
        <v>6.7094876450414214</v>
      </c>
    </row>
    <row r="55" spans="2:24" ht="20.100000000000001" customHeight="1" thickBot="1" x14ac:dyDescent="0.25">
      <c r="B55" s="9" t="s">
        <v>69</v>
      </c>
      <c r="C55" s="14">
        <f>'2001'!$G51</f>
        <v>5.2179157980154987</v>
      </c>
      <c r="D55" s="14">
        <f>'2002'!$G51</f>
        <v>5.7632823871906842</v>
      </c>
      <c r="E55" s="14">
        <f>'2003'!$G51</f>
        <v>6.3341974869619753</v>
      </c>
      <c r="F55" s="14">
        <f>'2004'!$G51</f>
        <v>5.548364780575981</v>
      </c>
      <c r="G55" s="14">
        <f>'2005'!$G51</f>
        <v>5.3817503423547395</v>
      </c>
      <c r="H55" s="14">
        <f>'2006'!$G51</f>
        <v>5.0303066301850006</v>
      </c>
      <c r="I55" s="14">
        <f>'2007'!$G51</f>
        <v>4.9484444655939539</v>
      </c>
      <c r="J55" s="14">
        <f>'2008'!$G51</f>
        <v>6.8041901142225223</v>
      </c>
      <c r="K55" s="14">
        <f>'2009'!$G51</f>
        <v>7.3959701593075344</v>
      </c>
      <c r="L55" s="14">
        <f>'2010'!$G51</f>
        <v>7.2088162466479266</v>
      </c>
      <c r="M55" s="14">
        <f>'2011'!$G51</f>
        <v>8.0452595748386955</v>
      </c>
      <c r="N55" s="14">
        <f>'2012'!$G51</f>
        <v>8.4462194954651277</v>
      </c>
      <c r="O55" s="14">
        <f>'2013'!$G51</f>
        <v>9.3921442933236534</v>
      </c>
      <c r="P55" s="14">
        <f>'2014'!$G51</f>
        <v>7.3891689052234133</v>
      </c>
      <c r="Q55" s="14">
        <f>'2015'!$G51</f>
        <v>6.7484599377794261</v>
      </c>
      <c r="R55" s="14">
        <f>'2016'!$G51</f>
        <v>6.8368754108079548</v>
      </c>
      <c r="S55" s="14">
        <f>'2017'!$G51</f>
        <v>6.7176172334801221</v>
      </c>
      <c r="T55" s="14">
        <f>'2018'!$G51</f>
        <v>7.1571179146001809</v>
      </c>
      <c r="U55" s="14">
        <f>'2019'!$G51</f>
        <v>7.3234558062262503</v>
      </c>
      <c r="V55" s="14">
        <f>'2020'!$G51</f>
        <v>6.277756498116366</v>
      </c>
      <c r="W55" s="14">
        <f>'2021'!$G51</f>
        <v>7.5503683031359667</v>
      </c>
      <c r="X55" s="14">
        <f>'2022'!$G51</f>
        <v>7.4872218217811213</v>
      </c>
    </row>
    <row r="56" spans="2:24" ht="20.100000000000001" customHeight="1" thickBot="1" x14ac:dyDescent="0.25">
      <c r="B56" s="9" t="s">
        <v>70</v>
      </c>
      <c r="C56" s="14">
        <f>'2001'!$G52</f>
        <v>3.143001073219879</v>
      </c>
      <c r="D56" s="14">
        <f>'2002'!$G52</f>
        <v>5.6838676533277948</v>
      </c>
      <c r="E56" s="14">
        <f>'2003'!$G52</f>
        <v>4.1009741187853201</v>
      </c>
      <c r="F56" s="14">
        <f>'2004'!$G52</f>
        <v>5.4990616680487063</v>
      </c>
      <c r="G56" s="14">
        <f>'2005'!$G52</f>
        <v>7.0710228191391895</v>
      </c>
      <c r="H56" s="14">
        <f>'2006'!$G52</f>
        <v>5.9249435846978171</v>
      </c>
      <c r="I56" s="14">
        <f>'2007'!$G52</f>
        <v>4.8935283621638375</v>
      </c>
      <c r="J56" s="14">
        <f>'2008'!$G52</f>
        <v>4.5432453563806181</v>
      </c>
      <c r="K56" s="14">
        <f>'2009'!$G52</f>
        <v>5.3206590887582674</v>
      </c>
      <c r="L56" s="14">
        <f>'2010'!$G52</f>
        <v>5.0494446660647929</v>
      </c>
      <c r="M56" s="14">
        <f>'2011'!$G52</f>
        <v>5.4083572246201017</v>
      </c>
      <c r="N56" s="14">
        <f>'2012'!$G52</f>
        <v>5.5013647616427921</v>
      </c>
      <c r="O56" s="14">
        <f>'2013'!$G52</f>
        <v>6.099194992014235</v>
      </c>
      <c r="P56" s="14">
        <f>'2014'!$G52</f>
        <v>6.3109270122857044</v>
      </c>
      <c r="Q56" s="14">
        <f>'2015'!$G52</f>
        <v>6.0105927081730872</v>
      </c>
      <c r="R56" s="14">
        <f>'2016'!$G52</f>
        <v>4.7201243891603735</v>
      </c>
      <c r="S56" s="14">
        <f>'2017'!$G52</f>
        <v>4.36430716623736</v>
      </c>
      <c r="T56" s="14">
        <f>'2018'!$G52</f>
        <v>5.496613995485327</v>
      </c>
      <c r="U56" s="14">
        <f>'2019'!$G52</f>
        <v>5.1897648810866919</v>
      </c>
      <c r="V56" s="14">
        <f>'2020'!$G52</f>
        <v>4.6465055578056793</v>
      </c>
      <c r="W56" s="14">
        <f>'2021'!$G52</f>
        <v>5.3072216525629035</v>
      </c>
      <c r="X56" s="14">
        <f>'2022'!$G52</f>
        <v>5.4762414504152259</v>
      </c>
    </row>
    <row r="57" spans="2:24" ht="20.100000000000001" customHeight="1" thickBot="1" x14ac:dyDescent="0.25">
      <c r="B57" s="9" t="s">
        <v>71</v>
      </c>
      <c r="C57" s="14">
        <f>'2001'!$G53</f>
        <v>3.3949477687775897</v>
      </c>
      <c r="D57" s="14">
        <f>'2002'!$G53</f>
        <v>3.6425226093073664</v>
      </c>
      <c r="E57" s="14">
        <f>'2003'!$G53</f>
        <v>4.3063583373207024</v>
      </c>
      <c r="F57" s="14">
        <f>'2004'!$G53</f>
        <v>4.264667489438458</v>
      </c>
      <c r="G57" s="14">
        <f>'2005'!$G53</f>
        <v>3.9735738189576781</v>
      </c>
      <c r="H57" s="14">
        <f>'2006'!$G53</f>
        <v>3.9248917814107709</v>
      </c>
      <c r="I57" s="14">
        <f>'2007'!$G53</f>
        <v>4.5592805442105053</v>
      </c>
      <c r="J57" s="14">
        <f>'2008'!$G53</f>
        <v>6.387415308754651</v>
      </c>
      <c r="K57" s="14">
        <f>'2009'!$G53</f>
        <v>6.3737005182366255</v>
      </c>
      <c r="L57" s="14">
        <f>'2010'!$G53</f>
        <v>6.2034585982533832</v>
      </c>
      <c r="M57" s="14">
        <f>'2011'!$G53</f>
        <v>6.3716953762689474</v>
      </c>
      <c r="N57" s="14">
        <f>'2012'!$G53</f>
        <v>6.2159250993921633</v>
      </c>
      <c r="O57" s="14">
        <f>'2013'!$G53</f>
        <v>6.1270486238826525</v>
      </c>
      <c r="P57" s="14">
        <f>'2014'!$G53</f>
        <v>5.795530874123866</v>
      </c>
      <c r="Q57" s="14">
        <f>'2015'!$G53</f>
        <v>6.1438735456250209</v>
      </c>
      <c r="R57" s="14">
        <f>'2016'!$G53</f>
        <v>5.423457558320786</v>
      </c>
      <c r="S57" s="14">
        <f>'2017'!$G53</f>
        <v>5.6208656638368657</v>
      </c>
      <c r="T57" s="14">
        <f>'2018'!$G53</f>
        <v>6.0761249500566645</v>
      </c>
      <c r="U57" s="14">
        <f>'2019'!$G53</f>
        <v>6.6847777457423225</v>
      </c>
      <c r="V57" s="14">
        <f>'2020'!$G53</f>
        <v>5.6466186402080387</v>
      </c>
      <c r="W57" s="14">
        <f>'2021'!$G53</f>
        <v>6.4087830730297251</v>
      </c>
      <c r="X57" s="14">
        <f>'2022'!$G53</f>
        <v>6.6434880318712306</v>
      </c>
    </row>
    <row r="58" spans="2:24" ht="20.100000000000001" customHeight="1" thickBot="1" x14ac:dyDescent="0.25">
      <c r="B58" s="9" t="s">
        <v>72</v>
      </c>
      <c r="C58" s="14">
        <f>'2001'!$G54</f>
        <v>3.0976342002304871</v>
      </c>
      <c r="D58" s="14">
        <f>'2002'!$G54</f>
        <v>4.2740021260794219</v>
      </c>
      <c r="E58" s="14">
        <f>'2003'!$G54</f>
        <v>3.5187401756485874</v>
      </c>
      <c r="F58" s="14">
        <f>'2004'!$G54</f>
        <v>2.4689054280034162</v>
      </c>
      <c r="G58" s="14">
        <f>'2005'!$G54</f>
        <v>2.53028187481838</v>
      </c>
      <c r="H58" s="14">
        <f>'2006'!$G54</f>
        <v>2.8207653348339896</v>
      </c>
      <c r="I58" s="14">
        <f>'2007'!$G54</f>
        <v>3.5127667550643542</v>
      </c>
      <c r="J58" s="14">
        <f>'2008'!$G54</f>
        <v>2.8566742297914214</v>
      </c>
      <c r="K58" s="14">
        <f>'2009'!$G54</f>
        <v>4.0885581699613631</v>
      </c>
      <c r="L58" s="14">
        <f>'2010'!$G54</f>
        <v>3.6206694796836385</v>
      </c>
      <c r="M58" s="14">
        <f>'2011'!$G54</f>
        <v>4.0938543777272196</v>
      </c>
      <c r="N58" s="14">
        <f>'2012'!$G54</f>
        <v>4.223255037292664</v>
      </c>
      <c r="O58" s="14">
        <f>'2013'!$G54</f>
        <v>4.3394779966662682</v>
      </c>
      <c r="P58" s="14">
        <f>'2014'!$G54</f>
        <v>3.0135717593417164</v>
      </c>
      <c r="Q58" s="14">
        <f>'2015'!$G54</f>
        <v>2.9078973886505626</v>
      </c>
      <c r="R58" s="14">
        <f>'2016'!$G54</f>
        <v>2.9494002642779447</v>
      </c>
      <c r="S58" s="14">
        <f>'2017'!$G54</f>
        <v>2.7367551378704946</v>
      </c>
      <c r="T58" s="14">
        <f>'2018'!$G54</f>
        <v>3.3142109799958384</v>
      </c>
      <c r="U58" s="14">
        <f>'2019'!$G54</f>
        <v>3.9660943662076829</v>
      </c>
      <c r="V58" s="14">
        <f>'2020'!$G54</f>
        <v>2.9960648700214643</v>
      </c>
      <c r="W58" s="14">
        <f>'2021'!$G54</f>
        <v>2.9952803894607753</v>
      </c>
      <c r="X58" s="14">
        <f>'2022'!$G54</f>
        <v>2.6459548849827192</v>
      </c>
    </row>
    <row r="59" spans="2:24" ht="20.100000000000001" customHeight="1" thickBot="1" x14ac:dyDescent="0.25">
      <c r="B59" s="9" t="s">
        <v>73</v>
      </c>
      <c r="C59" s="14">
        <f>'2001'!$G55</f>
        <v>3.8143662649613619</v>
      </c>
      <c r="D59" s="14">
        <f>'2002'!$G55</f>
        <v>5.2073231870428041</v>
      </c>
      <c r="E59" s="14">
        <f>'2003'!$G55</f>
        <v>5.2246585413932545</v>
      </c>
      <c r="F59" s="14">
        <f>'2004'!$G55</f>
        <v>4.0289935300833823</v>
      </c>
      <c r="G59" s="14">
        <f>'2005'!$G55</f>
        <v>4.0133320852611591</v>
      </c>
      <c r="H59" s="14">
        <f>'2006'!$G55</f>
        <v>3.9862382191553851</v>
      </c>
      <c r="I59" s="14">
        <f>'2007'!$G55</f>
        <v>3.3848169462853783</v>
      </c>
      <c r="J59" s="14">
        <f>'2008'!$G55</f>
        <v>5.1327732045365364</v>
      </c>
      <c r="K59" s="14">
        <f>'2009'!$G55</f>
        <v>7.300963553183931</v>
      </c>
      <c r="L59" s="14">
        <f>'2010'!$G55</f>
        <v>5.5633640371425823</v>
      </c>
      <c r="M59" s="14">
        <f>'2011'!$G55</f>
        <v>6.0050166703900505</v>
      </c>
      <c r="N59" s="14">
        <f>'2012'!$G55</f>
        <v>8.1802178766865197</v>
      </c>
      <c r="O59" s="14">
        <f>'2013'!$G55</f>
        <v>6.4608646290311391</v>
      </c>
      <c r="P59" s="14">
        <f>'2014'!$G55</f>
        <v>4.896043116074698</v>
      </c>
      <c r="Q59" s="14">
        <f>'2015'!$G55</f>
        <v>5.1631810387224153</v>
      </c>
      <c r="R59" s="14">
        <f>'2016'!$G55</f>
        <v>4.2545653083035173</v>
      </c>
      <c r="S59" s="14">
        <f>'2017'!$G55</f>
        <v>4.7056014419640064</v>
      </c>
      <c r="T59" s="14">
        <f>'2018'!$G55</f>
        <v>5.227010536943312</v>
      </c>
      <c r="U59" s="14">
        <f>'2019'!$G55</f>
        <v>5.4141649060796384</v>
      </c>
      <c r="V59" s="14">
        <f>'2020'!$G55</f>
        <v>4.8240055017818273</v>
      </c>
      <c r="W59" s="14">
        <f>'2021'!$G55</f>
        <v>5.0422679351511066</v>
      </c>
      <c r="X59" s="14">
        <f>'2022'!$G55</f>
        <v>4.5136544390142133</v>
      </c>
    </row>
    <row r="60" spans="2:24" ht="20.100000000000001" customHeight="1" thickBot="1" x14ac:dyDescent="0.25">
      <c r="B60" s="9" t="s">
        <v>74</v>
      </c>
      <c r="C60" s="14">
        <f>'2001'!$G56</f>
        <v>7.5027950268726675</v>
      </c>
      <c r="D60" s="14">
        <f>'2002'!$G56</f>
        <v>8.1155350180352581</v>
      </c>
      <c r="E60" s="14">
        <f>'2003'!$G56</f>
        <v>7.8533049863875188</v>
      </c>
      <c r="F60" s="14">
        <f>'2004'!$G56</f>
        <v>7.1905817876747786</v>
      </c>
      <c r="G60" s="14">
        <f>'2005'!$G56</f>
        <v>6.8285230494722402</v>
      </c>
      <c r="H60" s="14">
        <f>'2006'!$G56</f>
        <v>6.6683119607467463</v>
      </c>
      <c r="I60" s="14">
        <f>'2007'!$G56</f>
        <v>6.4211176991759045</v>
      </c>
      <c r="J60" s="14">
        <f>'2008'!$G56</f>
        <v>8.2934591691048603</v>
      </c>
      <c r="K60" s="14">
        <f>'2009'!$G56</f>
        <v>10.860997405413297</v>
      </c>
      <c r="L60" s="14">
        <f>'2010'!$G56</f>
        <v>9.2048225072031915</v>
      </c>
      <c r="M60" s="14">
        <f>'2011'!$G56</f>
        <v>8.7353449522805704</v>
      </c>
      <c r="N60" s="14">
        <f>'2012'!$G56</f>
        <v>9.2866840876754111</v>
      </c>
      <c r="O60" s="14">
        <f>'2013'!$G56</f>
        <v>9.4039526603425543</v>
      </c>
      <c r="P60" s="14">
        <f>'2014'!$G56</f>
        <v>8.2902493548192204</v>
      </c>
      <c r="Q60" s="14">
        <f>'2015'!$G56</f>
        <v>7.3935002152702278</v>
      </c>
      <c r="R60" s="14">
        <f>'2016'!$G56</f>
        <v>6.7060650938739057</v>
      </c>
      <c r="S60" s="14">
        <f>'2017'!$G56</f>
        <v>6.7705563845024246</v>
      </c>
      <c r="T60" s="14">
        <f>'2018'!$G56</f>
        <v>7.3355976053243621</v>
      </c>
      <c r="U60" s="14">
        <f>'2019'!$G56</f>
        <v>7.3329788345514686</v>
      </c>
      <c r="V60" s="14">
        <f>'2020'!$G56</f>
        <v>7.3919459850494329</v>
      </c>
      <c r="W60" s="14">
        <f>'2021'!$G56</f>
        <v>7.7642246280092939</v>
      </c>
      <c r="X60" s="14">
        <f>'2022'!$G56</f>
        <v>7.7294663601759854</v>
      </c>
    </row>
    <row r="61" spans="2:24" ht="20.100000000000001" customHeight="1" thickBot="1" x14ac:dyDescent="0.25">
      <c r="B61" s="9" t="s">
        <v>75</v>
      </c>
      <c r="C61" s="14">
        <f>'2001'!$G57</f>
        <v>5.6128893628215861</v>
      </c>
      <c r="D61" s="14">
        <f>'2002'!$G57</f>
        <v>5.6050299606710077</v>
      </c>
      <c r="E61" s="14">
        <f>'2003'!$G57</f>
        <v>6.2551599638160624</v>
      </c>
      <c r="F61" s="14">
        <f>'2004'!$G57</f>
        <v>6.2306332617551083</v>
      </c>
      <c r="G61" s="14">
        <f>'2005'!$G57</f>
        <v>8.615162219191177</v>
      </c>
      <c r="H61" s="14">
        <f>'2006'!$G57</f>
        <v>6.2147447563692948</v>
      </c>
      <c r="I61" s="14">
        <f>'2007'!$G57</f>
        <v>7.0620575431170813</v>
      </c>
      <c r="J61" s="14">
        <f>'2008'!$G57</f>
        <v>8.1282524824250171</v>
      </c>
      <c r="K61" s="14">
        <f>'2009'!$G57</f>
        <v>8.6447918133596193</v>
      </c>
      <c r="L61" s="14">
        <f>'2010'!$G57</f>
        <v>7.4413462259200953</v>
      </c>
      <c r="M61" s="14">
        <f>'2011'!$G57</f>
        <v>7.8803606082927944</v>
      </c>
      <c r="N61" s="14">
        <f>'2012'!$G57</f>
        <v>9.4164108707044996</v>
      </c>
      <c r="O61" s="14">
        <f>'2013'!$G57</f>
        <v>9.8763066333010183</v>
      </c>
      <c r="P61" s="14">
        <f>'2014'!$G57</f>
        <v>8.1620388655918763</v>
      </c>
      <c r="Q61" s="14">
        <f>'2015'!$G57</f>
        <v>7.459793877116712</v>
      </c>
      <c r="R61" s="14">
        <f>'2016'!$G57</f>
        <v>6.8687115580345974</v>
      </c>
      <c r="S61" s="14">
        <f>'2017'!$G57</f>
        <v>8.013355592654424</v>
      </c>
      <c r="T61" s="14">
        <f>'2018'!$G57</f>
        <v>8.3620114225037572</v>
      </c>
      <c r="U61" s="14">
        <f>'2019'!$G57</f>
        <v>8.2360368475553649</v>
      </c>
      <c r="V61" s="14">
        <f>'2020'!$G57</f>
        <v>7.0892290199347352</v>
      </c>
      <c r="W61" s="14">
        <f>'2021'!$G57</f>
        <v>8.9821915777272459</v>
      </c>
      <c r="X61" s="14">
        <f>'2022'!$G57</f>
        <v>8.5027562716492007</v>
      </c>
    </row>
    <row r="62" spans="2:24" ht="20.100000000000001" customHeight="1" thickBot="1" x14ac:dyDescent="0.25">
      <c r="B62" s="9" t="s">
        <v>76</v>
      </c>
      <c r="C62" s="14">
        <f>'2001'!$G58</f>
        <v>3.6816303939591615</v>
      </c>
      <c r="D62" s="14">
        <f>'2002'!$G58</f>
        <v>7.6540527611397362</v>
      </c>
      <c r="E62" s="14">
        <f>'2003'!$G58</f>
        <v>5.1880934257441611</v>
      </c>
      <c r="F62" s="14">
        <f>'2004'!$G58</f>
        <v>5.6970441860933692</v>
      </c>
      <c r="G62" s="14">
        <f>'2005'!$G58</f>
        <v>6.4227827009013101</v>
      </c>
      <c r="H62" s="14">
        <f>'2006'!$G58</f>
        <v>4.5774006035687522</v>
      </c>
      <c r="I62" s="14">
        <f>'2007'!$G58</f>
        <v>4.2993961579216879</v>
      </c>
      <c r="J62" s="14">
        <f>'2008'!$G58</f>
        <v>4.8118608058979522</v>
      </c>
      <c r="K62" s="14">
        <f>'2009'!$G58</f>
        <v>6.0511588684741779</v>
      </c>
      <c r="L62" s="14">
        <f>'2010'!$G58</f>
        <v>6.1221127210190822</v>
      </c>
      <c r="M62" s="14">
        <f>'2011'!$G58</f>
        <v>7.1102423687707814</v>
      </c>
      <c r="N62" s="14">
        <f>'2012'!$G58</f>
        <v>7.0820199152453922</v>
      </c>
      <c r="O62" s="14">
        <f>'2013'!$G58</f>
        <v>7.0908801189780633</v>
      </c>
      <c r="P62" s="14">
        <f>'2014'!$G58</f>
        <v>5.7217740195866948</v>
      </c>
      <c r="Q62" s="14">
        <f>'2015'!$G58</f>
        <v>5.4024291851108837</v>
      </c>
      <c r="R62" s="14">
        <f>'2016'!$G58</f>
        <v>4.9277740208197063</v>
      </c>
      <c r="S62" s="14">
        <f>'2017'!$G58</f>
        <v>6.9276904692115169</v>
      </c>
      <c r="T62" s="14">
        <f>'2018'!$G58</f>
        <v>5.9352961059645146</v>
      </c>
      <c r="U62" s="14">
        <f>'2019'!$G58</f>
        <v>7.1056398843160098</v>
      </c>
      <c r="V62" s="14">
        <f>'2020'!$G58</f>
        <v>6.3838019086922877</v>
      </c>
      <c r="W62" s="14">
        <f>'2021'!$G58</f>
        <v>6.9580678619054668</v>
      </c>
      <c r="X62" s="14">
        <f>'2022'!$G58</f>
        <v>7.4025781597273665</v>
      </c>
    </row>
    <row r="63" spans="2:24" ht="20.100000000000001" customHeight="1" thickBot="1" x14ac:dyDescent="0.25">
      <c r="B63" s="9" t="s">
        <v>77</v>
      </c>
      <c r="C63" s="14">
        <f>'2001'!$G59</f>
        <v>5.8502854011066221</v>
      </c>
      <c r="D63" s="14">
        <f>'2002'!$G59</f>
        <v>13.702796917846349</v>
      </c>
      <c r="E63" s="14">
        <f>'2003'!$G59</f>
        <v>6.5332148643704597</v>
      </c>
      <c r="F63" s="14">
        <f>'2004'!$G59</f>
        <v>6.203822365855018</v>
      </c>
      <c r="G63" s="14">
        <f>'2005'!$G59</f>
        <v>5.5883746020051044</v>
      </c>
      <c r="H63" s="14">
        <f>'2006'!$G59</f>
        <v>5.1837590811173806</v>
      </c>
      <c r="I63" s="14">
        <f>'2007'!$G59</f>
        <v>5.6203632807221853</v>
      </c>
      <c r="J63" s="14">
        <f>'2008'!$G59</f>
        <v>6.9076113523907621</v>
      </c>
      <c r="K63" s="14">
        <f>'2009'!$G59</f>
        <v>8.6147459634159294</v>
      </c>
      <c r="L63" s="14">
        <f>'2010'!$G59</f>
        <v>7.7801021729212989</v>
      </c>
      <c r="M63" s="14">
        <f>'2011'!$G59</f>
        <v>7.7928749389977661</v>
      </c>
      <c r="N63" s="14">
        <f>'2012'!$G59</f>
        <v>8.6143968593131799</v>
      </c>
      <c r="O63" s="14">
        <f>'2013'!$G59</f>
        <v>9.1617125024779327</v>
      </c>
      <c r="P63" s="14">
        <f>'2014'!$G59</f>
        <v>7.7251484463775544</v>
      </c>
      <c r="Q63" s="14">
        <f>'2015'!$G59</f>
        <v>6.5030972608958519</v>
      </c>
      <c r="R63" s="14">
        <f>'2016'!$G59</f>
        <v>6.7669149201426189</v>
      </c>
      <c r="S63" s="14">
        <f>'2017'!$G59</f>
        <v>6.7814315050247203</v>
      </c>
      <c r="T63" s="14">
        <f>'2018'!$G59</f>
        <v>6.7395536917777443</v>
      </c>
      <c r="U63" s="14">
        <f>'2019'!$G59</f>
        <v>7.1649737273930665</v>
      </c>
      <c r="V63" s="14">
        <f>'2020'!$G59</f>
        <v>6.383363769475018</v>
      </c>
      <c r="W63" s="14">
        <f>'2021'!$G59</f>
        <v>7.6179490041883211</v>
      </c>
      <c r="X63" s="14">
        <f>'2022'!$G59</f>
        <v>6.56570041717832</v>
      </c>
    </row>
    <row r="64" spans="2:24" ht="20.100000000000001" customHeight="1" thickBot="1" x14ac:dyDescent="0.25">
      <c r="B64" s="9" t="s">
        <v>78</v>
      </c>
      <c r="C64" s="14">
        <f>'2001'!$G60</f>
        <v>9.9875815784606452</v>
      </c>
      <c r="D64" s="14">
        <f>'2002'!$G60</f>
        <v>9.3759848723605419</v>
      </c>
      <c r="E64" s="14">
        <f>'2003'!$G60</f>
        <v>10.00920847179405</v>
      </c>
      <c r="F64" s="14">
        <f>'2004'!$G60</f>
        <v>8.3049803091595908</v>
      </c>
      <c r="G64" s="14">
        <f>'2005'!$G60</f>
        <v>6.3765343535788297</v>
      </c>
      <c r="H64" s="14">
        <f>'2006'!$G60</f>
        <v>6.6437299798315337</v>
      </c>
      <c r="I64" s="14">
        <f>'2007'!$G60</f>
        <v>6.5532681487670192</v>
      </c>
      <c r="J64" s="14">
        <f>'2008'!$G60</f>
        <v>8.4637351561591441</v>
      </c>
      <c r="K64" s="14">
        <f>'2009'!$G60</f>
        <v>8.9356076975875141</v>
      </c>
      <c r="L64" s="14">
        <f>'2010'!$G60</f>
        <v>8.9229203638665151</v>
      </c>
      <c r="M64" s="14">
        <f>'2011'!$G60</f>
        <v>7.8299504710109735</v>
      </c>
      <c r="N64" s="14">
        <f>'2012'!$G60</f>
        <v>5.4393106239139231</v>
      </c>
      <c r="O64" s="14">
        <f>'2013'!$G60</f>
        <v>6.7830838679021142</v>
      </c>
      <c r="P64" s="14">
        <f>'2014'!$G60</f>
        <v>7.9093252356908295</v>
      </c>
      <c r="Q64" s="14">
        <f>'2015'!$G60</f>
        <v>6.3847714892657512</v>
      </c>
      <c r="R64" s="14">
        <f>'2016'!$G60</f>
        <v>6.8386989907594744</v>
      </c>
      <c r="S64" s="14">
        <f>'2017'!$G60</f>
        <v>7.3564896008663005</v>
      </c>
      <c r="T64" s="14">
        <f>'2018'!$G60</f>
        <v>4.8740956497228227</v>
      </c>
      <c r="U64" s="14">
        <f>'2019'!$G60</f>
        <v>5.4849782370218341</v>
      </c>
      <c r="V64" s="14">
        <f>'2020'!$G60</f>
        <v>7.2207310990237765</v>
      </c>
      <c r="W64" s="14">
        <f>'2021'!$G60</f>
        <v>9.2915214866434379</v>
      </c>
      <c r="X64" s="14">
        <f>'2022'!$G60</f>
        <v>10.93190607900188</v>
      </c>
    </row>
    <row r="65" spans="2:24" ht="20.100000000000001" customHeight="1" thickBot="1" x14ac:dyDescent="0.25">
      <c r="B65" s="9" t="s">
        <v>79</v>
      </c>
      <c r="C65" s="14">
        <f>'2001'!$G61</f>
        <v>7.8500923112706982</v>
      </c>
      <c r="D65" s="14">
        <f>'2002'!$G61</f>
        <v>17.706406105457912</v>
      </c>
      <c r="E65" s="14">
        <f>'2003'!$G61</f>
        <v>12.03569811430992</v>
      </c>
      <c r="F65" s="14">
        <f>'2004'!$G61</f>
        <v>14.775935074100213</v>
      </c>
      <c r="G65" s="14">
        <f>'2005'!$G61</f>
        <v>9.2230637674077691</v>
      </c>
      <c r="H65" s="14">
        <f>'2006'!$G61</f>
        <v>9.1519492754706828</v>
      </c>
      <c r="I65" s="14">
        <f>'2007'!$G61</f>
        <v>9.3605990783410125</v>
      </c>
      <c r="J65" s="14">
        <f>'2008'!$G61</f>
        <v>9.3914455268167067</v>
      </c>
      <c r="K65" s="14">
        <f>'2009'!$G61</f>
        <v>6.2346855431527368</v>
      </c>
      <c r="L65" s="14">
        <f>'2010'!$G61</f>
        <v>6.707525580661283</v>
      </c>
      <c r="M65" s="14">
        <f>'2011'!$G61</f>
        <v>7.9514756103776962</v>
      </c>
      <c r="N65" s="14">
        <f>'2012'!$G61</f>
        <v>8.5641444518700016</v>
      </c>
      <c r="O65" s="14">
        <f>'2013'!$G61</f>
        <v>12.990116994705959</v>
      </c>
      <c r="P65" s="14">
        <f>'2014'!$G61</f>
        <v>7.8926504869303855</v>
      </c>
      <c r="Q65" s="14">
        <f>'2015'!$G61</f>
        <v>7.7000373901663863</v>
      </c>
      <c r="R65" s="14">
        <f>'2016'!$G61</f>
        <v>7.3931137098086621</v>
      </c>
      <c r="S65" s="14">
        <f>'2017'!$G61</f>
        <v>6.7580120761727827</v>
      </c>
      <c r="T65" s="14">
        <f>'2018'!$G61</f>
        <v>6.6794776810520471</v>
      </c>
      <c r="U65" s="14">
        <f>'2019'!$G61</f>
        <v>7.0762079850150892</v>
      </c>
      <c r="V65" s="14">
        <f>'2020'!$G61</f>
        <v>7.9470807111029442</v>
      </c>
      <c r="W65" s="14">
        <f>'2021'!$G61</f>
        <v>8.5902087849665563</v>
      </c>
      <c r="X65" s="14">
        <f>'2022'!$G61</f>
        <v>10.224782926235495</v>
      </c>
    </row>
    <row r="66" spans="2:24" ht="20.100000000000001" customHeight="1" thickBot="1" x14ac:dyDescent="0.25">
      <c r="B66" s="12" t="s">
        <v>6</v>
      </c>
      <c r="C66" s="15">
        <f>'2001'!$G62</f>
        <v>6.9438521732266842</v>
      </c>
      <c r="D66" s="15">
        <f>'2002'!$G62</f>
        <v>8.0349338527169003</v>
      </c>
      <c r="E66" s="15">
        <f>'2003'!$G62</f>
        <v>8.1652478353363769</v>
      </c>
      <c r="F66" s="15">
        <f>'2004'!$G62</f>
        <v>7.508696402389309</v>
      </c>
      <c r="G66" s="15">
        <f>'2005'!$G62</f>
        <v>7.3601741058365118</v>
      </c>
      <c r="H66" s="15">
        <f>'2006'!$G62</f>
        <v>7.3723702406409055</v>
      </c>
      <c r="I66" s="15">
        <f>'2007'!$G62</f>
        <v>7.2439028558967404</v>
      </c>
      <c r="J66" s="15">
        <f>'2008'!$G62</f>
        <v>9.0332776691434269</v>
      </c>
      <c r="K66" s="15">
        <f>'2009'!$G62</f>
        <v>10.403560652967315</v>
      </c>
      <c r="L66" s="15">
        <f>'2010'!$G62</f>
        <v>9.5403835066000404</v>
      </c>
      <c r="M66" s="15">
        <f>'2011'!$G62</f>
        <v>9.3981310539959821</v>
      </c>
      <c r="N66" s="15">
        <f>'2012'!$G62</f>
        <v>9.9589600063832169</v>
      </c>
      <c r="O66" s="15">
        <f>'2013'!$G62</f>
        <v>10.077464351428016</v>
      </c>
      <c r="P66" s="15">
        <f>'2014'!$G62</f>
        <v>9.189315189607381</v>
      </c>
      <c r="Q66" s="15">
        <f>'2015'!$G62</f>
        <v>8.5800667231639718</v>
      </c>
      <c r="R66" s="15">
        <f>'2016'!$G62</f>
        <v>8.2147624248767492</v>
      </c>
      <c r="S66" s="15">
        <f>'2017'!$G62</f>
        <v>8.6931815790610578</v>
      </c>
      <c r="T66" s="15">
        <f>'2018'!$G62</f>
        <v>8.6883584908325631</v>
      </c>
      <c r="U66" s="15">
        <f>'2019'!$G62</f>
        <v>9.1967653441247048</v>
      </c>
      <c r="V66" s="15">
        <f>'2020'!$G62</f>
        <v>8.4336627025953934</v>
      </c>
      <c r="W66" s="15">
        <f>'2021'!$G62</f>
        <v>9.4088001109715762</v>
      </c>
      <c r="X66" s="15">
        <f>'2022'!$G62</f>
        <v>9.2768177140551771</v>
      </c>
    </row>
  </sheetData>
  <phoneticPr fontId="1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C93F6-D5F7-4EDD-AFB0-6D3ED0941626}">
  <dimension ref="B8:H62"/>
  <sheetViews>
    <sheetView workbookViewId="0"/>
  </sheetViews>
  <sheetFormatPr baseColWidth="10" defaultColWidth="10.710937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0.7109375" style="1"/>
  </cols>
  <sheetData>
    <row r="8" spans="2:8" ht="13.5" thickBot="1" x14ac:dyDescent="0.25"/>
    <row r="9" spans="2:8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8" ht="20.100000000000001" customHeight="1" thickBot="1" x14ac:dyDescent="0.25">
      <c r="B10" s="9" t="s">
        <v>31</v>
      </c>
      <c r="C10" s="14">
        <f>[1]NºAsuntos!$E$36/Población!$W$10*1000</f>
        <v>106.90775854930861</v>
      </c>
      <c r="D10" s="14">
        <f>[1]NºAsuntos!$E$17/Población!$W$10*1000</f>
        <v>49.186987662498964</v>
      </c>
      <c r="E10" s="14">
        <f>[1]NºAsuntos!$E$28/Población!$W$10*1000</f>
        <v>48.082098203196161</v>
      </c>
      <c r="F10" s="14">
        <f>[1]NºAsuntos!$E$31/Población!$W$10*1000</f>
        <v>2.3132814440672353</v>
      </c>
      <c r="G10" s="14">
        <f>[1]NºAsuntos!$E$35/Población!$W$10*1000</f>
        <v>7.3253912395462457</v>
      </c>
      <c r="H10" s="3"/>
    </row>
    <row r="11" spans="2:8" ht="20.100000000000001" customHeight="1" thickBot="1" x14ac:dyDescent="0.25">
      <c r="B11" s="9" t="s">
        <v>32</v>
      </c>
      <c r="C11" s="14">
        <f>[2]NºAsuntos!$E$36/Población!$W$11*1000</f>
        <v>131.4571130674336</v>
      </c>
      <c r="D11" s="14">
        <f>[2]NºAsuntos!$E$17/Población!$W$11*1000</f>
        <v>61.675174650141734</v>
      </c>
      <c r="E11" s="14">
        <f>[2]NºAsuntos!$E$28/Población!$W$11*1000</f>
        <v>61.322845290743466</v>
      </c>
      <c r="F11" s="14">
        <f>[2]NºAsuntos!$E$31/Población!$W$11*1000</f>
        <v>2.1469239999532355</v>
      </c>
      <c r="G11" s="14">
        <f>[2]NºAsuntos!$E$35/Población!$W$11*1000</f>
        <v>6.3121691265951805</v>
      </c>
      <c r="H11" s="3"/>
    </row>
    <row r="12" spans="2:8" ht="20.100000000000001" customHeight="1" thickBot="1" x14ac:dyDescent="0.25">
      <c r="B12" s="9" t="s">
        <v>33</v>
      </c>
      <c r="C12" s="14">
        <f>[3]NºAsuntos!$E$36/Población!$W$12*1000</f>
        <v>134.82382972210684</v>
      </c>
      <c r="D12" s="14">
        <f>[3]NºAsuntos!$E$17/Población!$W$12*1000</f>
        <v>55.477512735859371</v>
      </c>
      <c r="E12" s="14">
        <f>[3]NºAsuntos!$E$28/Población!$W$12*1000</f>
        <v>67.012211120099693</v>
      </c>
      <c r="F12" s="14">
        <f>[3]NºAsuntos!$E$31/Población!$W$12*1000</f>
        <v>2.9092966307366028</v>
      </c>
      <c r="G12" s="14">
        <f>[3]NºAsuntos!$E$35/Población!$W$12*1000</f>
        <v>9.4248092354111552</v>
      </c>
      <c r="H12" s="3"/>
    </row>
    <row r="13" spans="2:8" ht="20.100000000000001" customHeight="1" thickBot="1" x14ac:dyDescent="0.25">
      <c r="B13" s="9" t="s">
        <v>34</v>
      </c>
      <c r="C13" s="14">
        <f>[4]NºAsuntos!$E$36/Población!$W$13*1000</f>
        <v>108.00417233668838</v>
      </c>
      <c r="D13" s="14">
        <f>[4]NºAsuntos!$E$17/Población!$W$13*1000</f>
        <v>55.160569020400089</v>
      </c>
      <c r="E13" s="14">
        <f>[4]NºAsuntos!$E$28/Población!$W$13*1000</f>
        <v>39.379424864968556</v>
      </c>
      <c r="F13" s="14">
        <f>[4]NºAsuntos!$E$31/Población!$W$13*1000</f>
        <v>3.7557024932109608</v>
      </c>
      <c r="G13" s="14">
        <f>[4]NºAsuntos!$E$35/Población!$W$13*1000</f>
        <v>9.7084759581087816</v>
      </c>
      <c r="H13" s="3"/>
    </row>
    <row r="14" spans="2:8" ht="20.100000000000001" customHeight="1" thickBot="1" x14ac:dyDescent="0.25">
      <c r="B14" s="9" t="s">
        <v>35</v>
      </c>
      <c r="C14" s="14">
        <f>[5]NºAsuntos!$E$36/Población!$W$14*1000</f>
        <v>136.27800970950551</v>
      </c>
      <c r="D14" s="14">
        <f>[5]NºAsuntos!$E$17/Población!$W$14*1000</f>
        <v>67.088887834653761</v>
      </c>
      <c r="E14" s="14">
        <f>[5]NºAsuntos!$E$28/Población!$W$14*1000</f>
        <v>56.547195471005892</v>
      </c>
      <c r="F14" s="14">
        <f>[5]NºAsuntos!$E$31/Población!$W$14*1000</f>
        <v>2.1180242579502506</v>
      </c>
      <c r="G14" s="14">
        <f>[5]NºAsuntos!$E$35/Población!$W$14*1000</f>
        <v>10.523902145895599</v>
      </c>
      <c r="H14" s="3"/>
    </row>
    <row r="15" spans="2:8" ht="20.100000000000001" customHeight="1" thickBot="1" x14ac:dyDescent="0.25">
      <c r="B15" s="9" t="s">
        <v>36</v>
      </c>
      <c r="C15" s="14">
        <f>[6]NºAsuntos!$E$36/Población!$W$15*1000</f>
        <v>97.259832976688699</v>
      </c>
      <c r="D15" s="14">
        <f>[6]NºAsuntos!$E$17/Población!$W$15*1000</f>
        <v>39.439215760536797</v>
      </c>
      <c r="E15" s="14">
        <f>[6]NºAsuntos!$E$28/Población!$W$15*1000</f>
        <v>50.561478591853351</v>
      </c>
      <c r="F15" s="14">
        <f>[6]NºAsuntos!$E$31/Población!$W$15*1000</f>
        <v>1.8684391589498865</v>
      </c>
      <c r="G15" s="14">
        <f>[6]NºAsuntos!$E$35/Población!$W$15*1000</f>
        <v>5.3906994653486597</v>
      </c>
      <c r="H15" s="3"/>
    </row>
    <row r="16" spans="2:8" ht="20.100000000000001" customHeight="1" thickBot="1" x14ac:dyDescent="0.25">
      <c r="B16" s="9" t="s">
        <v>37</v>
      </c>
      <c r="C16" s="14">
        <f>[7]NºAsuntos!$E$36/Población!$W$16*1000</f>
        <v>112.6349555111405</v>
      </c>
      <c r="D16" s="14">
        <f>[7]NºAsuntos!$E$17/Población!$W$16*1000</f>
        <v>50.00873208616256</v>
      </c>
      <c r="E16" s="14">
        <f>[7]NºAsuntos!$E$28/Población!$W$16*1000</f>
        <v>54.743463249858571</v>
      </c>
      <c r="F16" s="14">
        <f>[7]NºAsuntos!$E$31/Población!$W$16*1000</f>
        <v>1.4105677647202823</v>
      </c>
      <c r="G16" s="14">
        <f>[7]NºAsuntos!$E$35/Población!$W$16*1000</f>
        <v>6.472192410399094</v>
      </c>
      <c r="H16" s="3"/>
    </row>
    <row r="17" spans="2:8" ht="20.100000000000001" customHeight="1" thickBot="1" x14ac:dyDescent="0.25">
      <c r="B17" s="9" t="s">
        <v>29</v>
      </c>
      <c r="C17" s="14">
        <f>[8]NºAsuntos!$E$36/Población!$W$17*1000</f>
        <v>136.89591204834068</v>
      </c>
      <c r="D17" s="14">
        <f>[8]NºAsuntos!$E$17/Población!$W$17*1000</f>
        <v>62.150471267033133</v>
      </c>
      <c r="E17" s="14">
        <f>[8]NºAsuntos!$E$28/Población!$W$17*1000</f>
        <v>66.707984941279179</v>
      </c>
      <c r="F17" s="14">
        <f>[8]NºAsuntos!$E$31/Población!$W$17*1000</f>
        <v>2.5507072415533401</v>
      </c>
      <c r="G17" s="14">
        <f>[8]NºAsuntos!$E$35/Población!$W$17*1000</f>
        <v>5.4867485984750317</v>
      </c>
      <c r="H17" s="3"/>
    </row>
    <row r="18" spans="2:8" ht="20.100000000000001" customHeight="1" thickBot="1" x14ac:dyDescent="0.25">
      <c r="B18" s="9" t="s">
        <v>38</v>
      </c>
      <c r="C18" s="14">
        <f>[9]NºAsuntos!$E$36/Población!$W$18*1000</f>
        <v>136.83201131112054</v>
      </c>
      <c r="D18" s="14">
        <f>[9]NºAsuntos!$E$17/Población!$W$18*1000</f>
        <v>62.395948714987412</v>
      </c>
      <c r="E18" s="14">
        <f>[9]NºAsuntos!$E$28/Población!$W$18*1000</f>
        <v>64.319574153109599</v>
      </c>
      <c r="F18" s="14">
        <f>[9]NºAsuntos!$E$31/Población!$W$18*1000</f>
        <v>1.8434816693002118</v>
      </c>
      <c r="G18" s="14">
        <f>[9]NºAsuntos!$E$35/Población!$W$18*1000</f>
        <v>8.2730067737233437</v>
      </c>
      <c r="H18" s="3"/>
    </row>
    <row r="19" spans="2:8" ht="20.100000000000001" customHeight="1" thickBot="1" x14ac:dyDescent="0.25">
      <c r="B19" s="9" t="s">
        <v>39</v>
      </c>
      <c r="C19" s="14">
        <f>[10]NºAsuntos!$E$36/Población!$W$19*1000</f>
        <v>103.22922135187909</v>
      </c>
      <c r="D19" s="14">
        <f>[10]NºAsuntos!$E$17/Población!$W$19*1000</f>
        <v>46.794082128742637</v>
      </c>
      <c r="E19" s="14">
        <f>[10]NºAsuntos!$E$28/Población!$W$19*1000</f>
        <v>43.028274312287429</v>
      </c>
      <c r="F19" s="14">
        <f>[10]NºAsuntos!$E$31/Población!$W$19*1000</f>
        <v>1.6494359518129067</v>
      </c>
      <c r="G19" s="14">
        <f>[10]NºAsuntos!$E$35/Población!$W$19*1000</f>
        <v>11.757428959036121</v>
      </c>
      <c r="H19" s="3"/>
    </row>
    <row r="20" spans="2:8" ht="20.100000000000001" customHeight="1" thickBot="1" x14ac:dyDescent="0.25">
      <c r="B20" s="9" t="s">
        <v>40</v>
      </c>
      <c r="C20" s="14">
        <f>[11]NºAsuntos!$E$36/Población!$W$20*1000</f>
        <v>111.96584797292553</v>
      </c>
      <c r="D20" s="14">
        <f>[11]NºAsuntos!$E$17/Población!$W$20*1000</f>
        <v>49.893977054106806</v>
      </c>
      <c r="E20" s="14">
        <f>[11]NºAsuntos!$E$28/Población!$W$20*1000</f>
        <v>52.166097934307906</v>
      </c>
      <c r="F20" s="14">
        <f>[11]NºAsuntos!$E$31/Población!$W$20*1000</f>
        <v>2.1710129053095728</v>
      </c>
      <c r="G20" s="14">
        <f>[11]NºAsuntos!$E$35/Población!$W$20*1000</f>
        <v>7.734760079201247</v>
      </c>
      <c r="H20" s="3"/>
    </row>
    <row r="21" spans="2:8" ht="20.100000000000001" customHeight="1" thickBot="1" x14ac:dyDescent="0.25">
      <c r="B21" s="9" t="s">
        <v>41</v>
      </c>
      <c r="C21" s="14">
        <f>[12]NºAsuntos!$E$36/Población!$W$21*1000</f>
        <v>100.00821443790142</v>
      </c>
      <c r="D21" s="14">
        <f>[12]NºAsuntos!$E$17/Población!$W$21*1000</f>
        <v>43.793222061926599</v>
      </c>
      <c r="E21" s="14">
        <f>[12]NºAsuntos!$E$28/Población!$W$21*1000</f>
        <v>50.477720904204247</v>
      </c>
      <c r="F21" s="14">
        <f>[12]NºAsuntos!$E$31/Población!$W$21*1000</f>
        <v>0.9318252994419316</v>
      </c>
      <c r="G21" s="14">
        <f>[12]NºAsuntos!$E$35/Población!$W$21*1000</f>
        <v>4.8054461723286392</v>
      </c>
      <c r="H21" s="3"/>
    </row>
    <row r="22" spans="2:8" ht="20.100000000000001" customHeight="1" thickBot="1" x14ac:dyDescent="0.25">
      <c r="B22" s="9" t="s">
        <v>42</v>
      </c>
      <c r="C22" s="14">
        <f>[13]NºAsuntos!$E$36/Población!$W$22*1000</f>
        <v>141.19233362226717</v>
      </c>
      <c r="D22" s="14">
        <f>[13]NºAsuntos!$E$17/Población!$W$22*1000</f>
        <v>58.277151754470452</v>
      </c>
      <c r="E22" s="14">
        <f>[13]NºAsuntos!$E$28/Población!$W$22*1000</f>
        <v>71.056053163825496</v>
      </c>
      <c r="F22" s="14">
        <f>[13]NºAsuntos!$E$31/Población!$W$22*1000</f>
        <v>4.4399499181354134</v>
      </c>
      <c r="G22" s="14">
        <f>[13]NºAsuntos!$E$35/Población!$W$22*1000</f>
        <v>7.4191787858358209</v>
      </c>
      <c r="H22" s="3"/>
    </row>
    <row r="23" spans="2:8" ht="20.100000000000001" customHeight="1" thickBot="1" x14ac:dyDescent="0.25">
      <c r="B23" s="9" t="s">
        <v>5</v>
      </c>
      <c r="C23" s="14">
        <f>[14]NºAsuntos!$E$36/Población!$W$23*1000</f>
        <v>129.88894914859873</v>
      </c>
      <c r="D23" s="14">
        <f>[14]NºAsuntos!$E$17/Población!$W$23*1000</f>
        <v>63.627980503227505</v>
      </c>
      <c r="E23" s="14">
        <f>[14]NºAsuntos!$E$28/Población!$W$23*1000</f>
        <v>55.270510019554941</v>
      </c>
      <c r="F23" s="14">
        <f>[14]NºAsuntos!$E$31/Población!$W$23*1000</f>
        <v>2.1539519629362864</v>
      </c>
      <c r="G23" s="14">
        <f>[14]NºAsuntos!$E$35/Población!$W$23*1000</f>
        <v>8.8365066628799998</v>
      </c>
      <c r="H23" s="3"/>
    </row>
    <row r="24" spans="2:8" ht="20.100000000000001" customHeight="1" thickBot="1" x14ac:dyDescent="0.25">
      <c r="B24" s="9" t="s">
        <v>43</v>
      </c>
      <c r="C24" s="14">
        <f>[15]NºAsuntos!$E$36/Población!$W$24*1000</f>
        <v>126.79026477522044</v>
      </c>
      <c r="D24" s="14">
        <f>[15]NºAsuntos!$E$17/Población!$W$24*1000</f>
        <v>57.746685199569384</v>
      </c>
      <c r="E24" s="14">
        <f>[15]NºAsuntos!$E$28/Población!$W$24*1000</f>
        <v>60.9013668015753</v>
      </c>
      <c r="F24" s="14">
        <f>[15]NºAsuntos!$E$31/Población!$W$24*1000</f>
        <v>2.1701211452243707</v>
      </c>
      <c r="G24" s="14">
        <f>[15]NºAsuntos!$E$35/Población!$W$24*1000</f>
        <v>5.972091628851369</v>
      </c>
      <c r="H24" s="3"/>
    </row>
    <row r="25" spans="2:8" ht="20.100000000000001" customHeight="1" thickBot="1" x14ac:dyDescent="0.25">
      <c r="B25" s="9" t="s">
        <v>44</v>
      </c>
      <c r="C25" s="14">
        <f>[16]NºAsuntos!$E$36/Población!$W$25*1000</f>
        <v>109.06208193003933</v>
      </c>
      <c r="D25" s="14">
        <f>[16]NºAsuntos!$E$17/Población!$W$25*1000</f>
        <v>48.301735110872912</v>
      </c>
      <c r="E25" s="14">
        <f>[16]NºAsuntos!$E$28/Población!$W$25*1000</f>
        <v>52.674531203371558</v>
      </c>
      <c r="F25" s="14">
        <f>[16]NºAsuntos!$E$31/Población!$W$25*1000</f>
        <v>1.9224874185683458</v>
      </c>
      <c r="G25" s="14">
        <f>[16]NºAsuntos!$E$35/Población!$W$25*1000</f>
        <v>6.1633281972265026</v>
      </c>
      <c r="H25" s="3"/>
    </row>
    <row r="26" spans="2:8" ht="20.100000000000001" customHeight="1" thickBot="1" x14ac:dyDescent="0.25">
      <c r="B26" s="9" t="s">
        <v>45</v>
      </c>
      <c r="C26" s="14">
        <f>[17]NºAsuntos!$E$36/Población!$W$26*1000</f>
        <v>128.04506757948425</v>
      </c>
      <c r="D26" s="14">
        <f>[17]NºAsuntos!$E$17/Población!$W$26*1000</f>
        <v>47.411845430354958</v>
      </c>
      <c r="E26" s="14">
        <f>[17]NºAsuntos!$E$28/Población!$W$26*1000</f>
        <v>73.267000433837239</v>
      </c>
      <c r="F26" s="14">
        <f>[17]NºAsuntos!$E$31/Población!$W$26*1000</f>
        <v>1.57056806932127</v>
      </c>
      <c r="G26" s="14">
        <f>[17]NºAsuntos!$E$35/Población!$W$26*1000</f>
        <v>5.795653645970785</v>
      </c>
      <c r="H26" s="3"/>
    </row>
    <row r="27" spans="2:8" ht="20.100000000000001" customHeight="1" thickBot="1" x14ac:dyDescent="0.25">
      <c r="B27" s="9" t="s">
        <v>46</v>
      </c>
      <c r="C27" s="14">
        <f>[18]NºAsuntos!$E$36/Población!$W$27*1000</f>
        <v>109.36370112861498</v>
      </c>
      <c r="D27" s="14">
        <f>[18]NºAsuntos!$E$17/Población!$W$27*1000</f>
        <v>54.212263889856033</v>
      </c>
      <c r="E27" s="14">
        <f>[18]NºAsuntos!$E$28/Población!$W$27*1000</f>
        <v>43.843861537994563</v>
      </c>
      <c r="F27" s="14">
        <f>[18]NºAsuntos!$E$31/Población!$W$27*1000</f>
        <v>2.1952730655439439</v>
      </c>
      <c r="G27" s="14">
        <f>[18]NºAsuntos!$E$35/Población!$W$27*1000</f>
        <v>9.1123026352204288</v>
      </c>
      <c r="H27" s="3"/>
    </row>
    <row r="28" spans="2:8" ht="20.100000000000001" customHeight="1" thickBot="1" x14ac:dyDescent="0.25">
      <c r="B28" s="9" t="s">
        <v>47</v>
      </c>
      <c r="C28" s="14">
        <f>[19]NºAsuntos!$E$36/Población!$W$28*1000</f>
        <v>101.48530043576996</v>
      </c>
      <c r="D28" s="14">
        <f>[19]NºAsuntos!$E$17/Población!$W$28*1000</f>
        <v>39.316475377974186</v>
      </c>
      <c r="E28" s="14">
        <f>[19]NºAsuntos!$E$28/Población!$W$28*1000</f>
        <v>54.046727633544059</v>
      </c>
      <c r="F28" s="14">
        <f>[19]NºAsuntos!$E$31/Población!$W$28*1000</f>
        <v>2.3220605986210847</v>
      </c>
      <c r="G28" s="14">
        <f>[19]NºAsuntos!$E$35/Población!$W$28*1000</f>
        <v>5.8000368256306389</v>
      </c>
    </row>
    <row r="29" spans="2:8" ht="20.100000000000001" customHeight="1" thickBot="1" x14ac:dyDescent="0.25">
      <c r="B29" s="9" t="s">
        <v>48</v>
      </c>
      <c r="C29" s="14">
        <f>[20]NºAsuntos!$E$36/Población!$W$10*1000</f>
        <v>167.73619276310342</v>
      </c>
      <c r="D29" s="14">
        <f>[20]NºAsuntos!$E$17/Población!$W$10*1000</f>
        <v>63.980086114101177</v>
      </c>
      <c r="E29" s="14">
        <f>[20]NºAsuntos!$E$28/Población!$W$10*1000</f>
        <v>85.397346195247167</v>
      </c>
      <c r="F29" s="14">
        <f>[20]NºAsuntos!$E$31/Población!$W$10*1000</f>
        <v>5.5632607435621431</v>
      </c>
      <c r="G29" s="14">
        <f>[20]NºAsuntos!$E$35/Población!$W$10*1000</f>
        <v>12.79549971019293</v>
      </c>
    </row>
    <row r="30" spans="2:8" ht="20.100000000000001" customHeight="1" thickBot="1" x14ac:dyDescent="0.25">
      <c r="B30" s="9" t="s">
        <v>49</v>
      </c>
      <c r="C30" s="14">
        <f>[21]NºAsuntos!$E$36/Población!$W$30*1000</f>
        <v>136.89111055738906</v>
      </c>
      <c r="D30" s="14">
        <f>[21]NºAsuntos!$E$17/Población!$W$30*1000</f>
        <v>58.615858712731821</v>
      </c>
      <c r="E30" s="14">
        <f>[21]NºAsuntos!$E$28/Población!$W$30*1000</f>
        <v>71.937818142985719</v>
      </c>
      <c r="F30" s="14">
        <f>[21]NºAsuntos!$E$31/Población!$W$30*1000</f>
        <v>1.4963208559412964</v>
      </c>
      <c r="G30" s="14">
        <f>[21]NºAsuntos!$E$35/Población!$W$30*1000</f>
        <v>4.8411128457302093</v>
      </c>
    </row>
    <row r="31" spans="2:8" ht="20.100000000000001" customHeight="1" thickBot="1" x14ac:dyDescent="0.25">
      <c r="B31" s="9" t="s">
        <v>50</v>
      </c>
      <c r="C31" s="14">
        <f>[22]NºAsuntos!$E$36/Población!$W$31*1000</f>
        <v>147.36611319624285</v>
      </c>
      <c r="D31" s="14">
        <f>[22]NºAsuntos!$E$17/Población!$W$31*1000</f>
        <v>54.294949301993405</v>
      </c>
      <c r="E31" s="14">
        <f>[22]NºAsuntos!$E$28/Población!$W$31*1000</f>
        <v>80.723903713946456</v>
      </c>
      <c r="F31" s="14">
        <f>[22]NºAsuntos!$E$31/Población!$W$31*1000</f>
        <v>3.4276237385194142</v>
      </c>
      <c r="G31" s="14">
        <f>[22]NºAsuntos!$E$35/Población!$W$31*1000</f>
        <v>8.9196364417835809</v>
      </c>
    </row>
    <row r="32" spans="2:8" ht="20.100000000000001" customHeight="1" thickBot="1" x14ac:dyDescent="0.25">
      <c r="B32" s="9" t="s">
        <v>51</v>
      </c>
      <c r="C32" s="14">
        <f>[23]NºAsuntos!$E$36/Población!$W$32*1000</f>
        <v>118.90597466753016</v>
      </c>
      <c r="D32" s="14">
        <f>[23]NºAsuntos!$E$17/Población!$W$32*1000</f>
        <v>55.642574212690327</v>
      </c>
      <c r="E32" s="14">
        <f>[23]NºAsuntos!$E$28/Población!$W$32*1000</f>
        <v>54.140247300329833</v>
      </c>
      <c r="F32" s="14">
        <f>[23]NºAsuntos!$E$31/Población!$W$32*1000</f>
        <v>2.1537117640857271</v>
      </c>
      <c r="G32" s="14">
        <f>[23]NºAsuntos!$E$35/Población!$W$32*1000</f>
        <v>6.9694413904242669</v>
      </c>
    </row>
    <row r="33" spans="2:7" ht="20.100000000000001" customHeight="1" thickBot="1" x14ac:dyDescent="0.25">
      <c r="B33" s="9" t="s">
        <v>52</v>
      </c>
      <c r="C33" s="14">
        <f>[24]NºAsuntos!$E$36/Población!$W$33*1000</f>
        <v>133.21669344946611</v>
      </c>
      <c r="D33" s="14">
        <f>[24]NºAsuntos!$E$17/Población!$W$33*1000</f>
        <v>52.700942310800912</v>
      </c>
      <c r="E33" s="14">
        <f>[24]NºAsuntos!$E$28/Población!$W$33*1000</f>
        <v>70.38900035182138</v>
      </c>
      <c r="F33" s="14">
        <f>[24]NºAsuntos!$E$31/Población!$W$33*1000</f>
        <v>3.1873116091549631</v>
      </c>
      <c r="G33" s="14">
        <f>[24]NºAsuntos!$E$35/Población!$W$33*1000</f>
        <v>6.9394391776888185</v>
      </c>
    </row>
    <row r="34" spans="2:7" ht="20.100000000000001" customHeight="1" thickBot="1" x14ac:dyDescent="0.25">
      <c r="B34" s="9" t="s">
        <v>53</v>
      </c>
      <c r="C34" s="14">
        <f>[25]NºAsuntos!$E$36/Población!$W$34*1000</f>
        <v>101.73277922448543</v>
      </c>
      <c r="D34" s="14">
        <f>[25]NºAsuntos!$E$17/Población!$W$34*1000</f>
        <v>42.057575000891809</v>
      </c>
      <c r="E34" s="14">
        <f>[25]NºAsuntos!$E$28/Población!$W$34*1000</f>
        <v>53.931973031783969</v>
      </c>
      <c r="F34" s="14">
        <f>[25]NºAsuntos!$E$31/Población!$W$34*1000</f>
        <v>1.3956765240966005</v>
      </c>
      <c r="G34" s="14">
        <f>[25]NºAsuntos!$E$35/Población!$W$34*1000</f>
        <v>4.3475546677130525</v>
      </c>
    </row>
    <row r="35" spans="2:7" ht="20.100000000000001" customHeight="1" thickBot="1" x14ac:dyDescent="0.25">
      <c r="B35" s="9" t="s">
        <v>54</v>
      </c>
      <c r="C35" s="14">
        <f>[26]NºAsuntos!$E$36/Población!$W$35*1000</f>
        <v>113.88096111226264</v>
      </c>
      <c r="D35" s="14">
        <f>[26]NºAsuntos!$E$17/Población!$W$35*1000</f>
        <v>45.603405666544433</v>
      </c>
      <c r="E35" s="14">
        <f>[26]NºAsuntos!$E$28/Población!$W$35*1000</f>
        <v>60.319839283151836</v>
      </c>
      <c r="F35" s="14">
        <f>[26]NºAsuntos!$E$31/Población!$W$35*1000</f>
        <v>1.8527081107798276</v>
      </c>
      <c r="G35" s="14">
        <f>[26]NºAsuntos!$E$35/Población!$W$35*1000</f>
        <v>6.1050080517865402</v>
      </c>
    </row>
    <row r="36" spans="2:7" ht="20.100000000000001" customHeight="1" thickBot="1" x14ac:dyDescent="0.25">
      <c r="B36" s="9" t="s">
        <v>55</v>
      </c>
      <c r="C36" s="14">
        <f>[27]NºAsuntos!$E$36/Población!$W$36*1000</f>
        <v>118.12550641346363</v>
      </c>
      <c r="D36" s="14">
        <f>[27]NºAsuntos!$E$17/Población!$W$36*1000</f>
        <v>57.690179010241174</v>
      </c>
      <c r="E36" s="14">
        <f>[27]NºAsuntos!$E$28/Población!$W$36*1000</f>
        <v>49.926279482672356</v>
      </c>
      <c r="F36" s="14">
        <f>[27]NºAsuntos!$E$31/Población!$W$36*1000</f>
        <v>1.6603720118838359</v>
      </c>
      <c r="G36" s="14">
        <f>[27]NºAsuntos!$E$35/Población!$W$36*1000</f>
        <v>8.848675908666257</v>
      </c>
    </row>
    <row r="37" spans="2:7" ht="20.100000000000001" customHeight="1" thickBot="1" x14ac:dyDescent="0.25">
      <c r="B37" s="9" t="s">
        <v>56</v>
      </c>
      <c r="C37" s="14">
        <f>[28]NºAsuntos!$E$36/Población!$W$37*1000</f>
        <v>135.41128927721064</v>
      </c>
      <c r="D37" s="14">
        <f>[28]NºAsuntos!$E$17/Población!$W$37*1000</f>
        <v>63.437087101769954</v>
      </c>
      <c r="E37" s="14">
        <f>[28]NºAsuntos!$E$28/Población!$W$37*1000</f>
        <v>66.548108258078301</v>
      </c>
      <c r="F37" s="14">
        <f>[28]NºAsuntos!$E$31/Población!$W$37*1000</f>
        <v>1.200745007697958</v>
      </c>
      <c r="G37" s="14">
        <f>[28]NºAsuntos!$E$35/Población!$W$37*1000</f>
        <v>4.2253489096644055</v>
      </c>
    </row>
    <row r="38" spans="2:7" ht="20.100000000000001" customHeight="1" thickBot="1" x14ac:dyDescent="0.25">
      <c r="B38" s="9" t="s">
        <v>57</v>
      </c>
      <c r="C38" s="14">
        <f>[29]NºAsuntos!$E$36/Población!$W$38*1000</f>
        <v>112.29613543018223</v>
      </c>
      <c r="D38" s="14">
        <f>[29]NºAsuntos!$E$17/Población!$W$38*1000</f>
        <v>56.172606613846689</v>
      </c>
      <c r="E38" s="14">
        <f>[29]NºAsuntos!$E$28/Población!$W$38*1000</f>
        <v>43.528939030038686</v>
      </c>
      <c r="F38" s="14">
        <f>[29]NºAsuntos!$E$31/Población!$W$38*1000</f>
        <v>2.3618690052237179</v>
      </c>
      <c r="G38" s="14">
        <f>[29]NºAsuntos!$E$35/Población!$W$38*1000</f>
        <v>10.232720781073148</v>
      </c>
    </row>
    <row r="39" spans="2:7" ht="20.100000000000001" customHeight="1" thickBot="1" x14ac:dyDescent="0.25">
      <c r="B39" s="9" t="s">
        <v>58</v>
      </c>
      <c r="C39" s="14">
        <f>[30]NºAsuntos!$E$36/Población!$W$39*1000</f>
        <v>138.31110708222815</v>
      </c>
      <c r="D39" s="14">
        <f>[30]NºAsuntos!$E$17/Población!$W$39*1000</f>
        <v>68.546999659766769</v>
      </c>
      <c r="E39" s="14">
        <f>[30]NºAsuntos!$E$28/Población!$W$39*1000</f>
        <v>56.506860728478323</v>
      </c>
      <c r="F39" s="14">
        <f>[30]NºAsuntos!$E$31/Población!$W$39*1000</f>
        <v>4.6367702815374514</v>
      </c>
      <c r="G39" s="14">
        <f>[30]NºAsuntos!$E$35/Población!$W$39*1000</f>
        <v>8.6204764124456332</v>
      </c>
    </row>
    <row r="40" spans="2:7" ht="20.100000000000001" customHeight="1" thickBot="1" x14ac:dyDescent="0.25">
      <c r="B40" s="9" t="s">
        <v>59</v>
      </c>
      <c r="C40" s="14">
        <f>[31]NºAsuntos!$E$36/Población!$W$40*1000</f>
        <v>185.14717946086785</v>
      </c>
      <c r="D40" s="14">
        <f>[31]NºAsuntos!$E$17/Población!$W$40*1000</f>
        <v>61.307427058987962</v>
      </c>
      <c r="E40" s="14">
        <f>[31]NºAsuntos!$E$28/Población!$W$40*1000</f>
        <v>113.24736045330083</v>
      </c>
      <c r="F40" s="14">
        <f>[31]NºAsuntos!$E$31/Población!$W$40*1000</f>
        <v>2.1260271128905655</v>
      </c>
      <c r="G40" s="14">
        <f>[31]NºAsuntos!$E$35/Población!$W$40*1000</f>
        <v>8.4663648356884753</v>
      </c>
    </row>
    <row r="41" spans="2:7" ht="20.100000000000001" customHeight="1" thickBot="1" x14ac:dyDescent="0.25">
      <c r="B41" s="9" t="s">
        <v>60</v>
      </c>
      <c r="C41" s="14">
        <f>[32]NºAsuntos!$E$36/Población!$W$41*1000</f>
        <v>138.77967923313091</v>
      </c>
      <c r="D41" s="14">
        <f>[32]NºAsuntos!$E$17/Población!$W$41*1000</f>
        <v>59.095045986594542</v>
      </c>
      <c r="E41" s="14">
        <f>[32]NºAsuntos!$E$28/Población!$W$41*1000</f>
        <v>69.684541049440043</v>
      </c>
      <c r="F41" s="14">
        <f>[32]NºAsuntos!$E$31/Población!$W$41*1000</f>
        <v>2.964136646633555</v>
      </c>
      <c r="G41" s="14">
        <f>[32]NºAsuntos!$E$35/Población!$W$41*1000</f>
        <v>7.0359555504627638</v>
      </c>
    </row>
    <row r="42" spans="2:7" ht="20.100000000000001" customHeight="1" thickBot="1" x14ac:dyDescent="0.25">
      <c r="B42" s="9" t="s">
        <v>61</v>
      </c>
      <c r="C42" s="14">
        <f>[33]NºAsuntos!$E$36/Población!$W$42*1000</f>
        <v>108.27663456465775</v>
      </c>
      <c r="D42" s="14">
        <f>[33]NºAsuntos!$E$17/Población!$W$42*1000</f>
        <v>41.030206927201348</v>
      </c>
      <c r="E42" s="14">
        <f>[33]NºAsuntos!$E$28/Población!$W$42*1000</f>
        <v>58.066291076689595</v>
      </c>
      <c r="F42" s="14">
        <f>[33]NºAsuntos!$E$31/Población!$W$42*1000</f>
        <v>1.9258182082030182</v>
      </c>
      <c r="G42" s="14">
        <f>[33]NºAsuntos!$E$35/Población!$W$42*1000</f>
        <v>7.2543183525638018</v>
      </c>
    </row>
    <row r="43" spans="2:7" ht="20.100000000000001" customHeight="1" thickBot="1" x14ac:dyDescent="0.25">
      <c r="B43" s="9" t="s">
        <v>62</v>
      </c>
      <c r="C43" s="14">
        <f>[34]NºAsuntos!$E$36/Población!$W$43*1000</f>
        <v>110.30623511334336</v>
      </c>
      <c r="D43" s="14">
        <f>[34]NºAsuntos!$E$17/Población!$W$43*1000</f>
        <v>53.98020463726521</v>
      </c>
      <c r="E43" s="14">
        <f>[34]NºAsuntos!$E$28/Población!$W$43*1000</f>
        <v>42.493521130452166</v>
      </c>
      <c r="F43" s="14">
        <f>[34]NºAsuntos!$E$31/Población!$W$43*1000</f>
        <v>2.1918400644774478</v>
      </c>
      <c r="G43" s="14">
        <f>[34]NºAsuntos!$E$35/Población!$W$43*1000</f>
        <v>11.640669281148538</v>
      </c>
    </row>
    <row r="44" spans="2:7" ht="20.100000000000001" customHeight="1" thickBot="1" x14ac:dyDescent="0.25">
      <c r="B44" s="9" t="s">
        <v>63</v>
      </c>
      <c r="C44" s="14">
        <f>[35]NºAsuntos!$E$36/Población!$W$44*1000</f>
        <v>119.10911684671606</v>
      </c>
      <c r="D44" s="14">
        <f>[35]NºAsuntos!$E$17/Población!$W$44*1000</f>
        <v>45.436549084670347</v>
      </c>
      <c r="E44" s="14">
        <f>[35]NºAsuntos!$E$28/Población!$W$44*1000</f>
        <v>63.16497300830175</v>
      </c>
      <c r="F44" s="14">
        <f>[35]NºAsuntos!$E$31/Población!$W$44*1000</f>
        <v>1.7030850348472566</v>
      </c>
      <c r="G44" s="14">
        <f>[35]NºAsuntos!$E$35/Población!$W$44*1000</f>
        <v>8.8045097188967034</v>
      </c>
    </row>
    <row r="45" spans="2:7" ht="20.100000000000001" customHeight="1" thickBot="1" x14ac:dyDescent="0.25">
      <c r="B45" s="9" t="s">
        <v>64</v>
      </c>
      <c r="C45" s="14">
        <f>[36]NºAsuntos!$E$36/Población!$W$45*1000</f>
        <v>191.6061385561332</v>
      </c>
      <c r="D45" s="14">
        <f>[36]NºAsuntos!$E$17/Población!$W$45*1000</f>
        <v>91.197557195630822</v>
      </c>
      <c r="E45" s="14">
        <f>[36]NºAsuntos!$E$28/Población!$W$45*1000</f>
        <v>83.537210499592845</v>
      </c>
      <c r="F45" s="14">
        <f>[36]NºAsuntos!$E$31/Población!$W$45*1000</f>
        <v>2.3862710991822169</v>
      </c>
      <c r="G45" s="14">
        <f>[36]NºAsuntos!$E$35/Población!$W$45*1000</f>
        <v>14.48509976172733</v>
      </c>
    </row>
    <row r="46" spans="2:7" ht="20.100000000000001" customHeight="1" thickBot="1" x14ac:dyDescent="0.25">
      <c r="B46" s="9" t="s">
        <v>65</v>
      </c>
      <c r="C46" s="14">
        <f>[37]NºAsuntos!$E$36/Población!$W$46*1000</f>
        <v>124.60459082364778</v>
      </c>
      <c r="D46" s="14">
        <f>[37]NºAsuntos!$E$17/Población!$W$46*1000</f>
        <v>58.970109343146859</v>
      </c>
      <c r="E46" s="14">
        <f>[37]NºAsuntos!$E$28/Población!$W$46*1000</f>
        <v>54.166423976066298</v>
      </c>
      <c r="F46" s="14">
        <f>[37]NºAsuntos!$E$31/Población!$W$46*1000</f>
        <v>1.9845913531545365</v>
      </c>
      <c r="G46" s="14">
        <f>[37]NºAsuntos!$E$35/Población!$W$46*1000</f>
        <v>9.4834661512800835</v>
      </c>
    </row>
    <row r="47" spans="2:7" ht="20.100000000000001" customHeight="1" thickBot="1" x14ac:dyDescent="0.25">
      <c r="B47" s="9" t="s">
        <v>30</v>
      </c>
      <c r="C47" s="14">
        <f>[38]NºAsuntos!$E$36/Población!$W$47*1000</f>
        <v>99.210121452425923</v>
      </c>
      <c r="D47" s="14">
        <f>[38]NºAsuntos!$E$17/Población!$W$47*1000</f>
        <v>46.010581745862986</v>
      </c>
      <c r="E47" s="14">
        <f>[38]NºAsuntos!$E$28/Población!$W$47*1000</f>
        <v>44.146893644698494</v>
      </c>
      <c r="F47" s="14">
        <f>[38]NºAsuntos!$E$31/Población!$W$47*1000</f>
        <v>1.9231009768727563</v>
      </c>
      <c r="G47" s="14">
        <f>[38]NºAsuntos!$E$35/Población!$W$47*1000</f>
        <v>7.1295450849916824</v>
      </c>
    </row>
    <row r="48" spans="2:7" ht="20.100000000000001" customHeight="1" thickBot="1" x14ac:dyDescent="0.25">
      <c r="B48" s="9" t="s">
        <v>66</v>
      </c>
      <c r="C48" s="14">
        <f>[39]NºAsuntos!$E$36/Población!$W$48*1000</f>
        <v>100.2541715291228</v>
      </c>
      <c r="D48" s="14">
        <f>[39]NºAsuntos!$E$17/Población!$W$48*1000</f>
        <v>50.510481520630051</v>
      </c>
      <c r="E48" s="14">
        <f>[39]NºAsuntos!$E$28/Población!$W$48*1000</f>
        <v>41.082917351483793</v>
      </c>
      <c r="F48" s="14">
        <f>[39]NºAsuntos!$E$31/Población!$W$48*1000</f>
        <v>2.456176795850161</v>
      </c>
      <c r="G48" s="14">
        <f>[39]NºAsuntos!$E$35/Población!$W$48*1000</f>
        <v>6.2045958611588024</v>
      </c>
    </row>
    <row r="49" spans="2:7" ht="20.100000000000001" customHeight="1" thickBot="1" x14ac:dyDescent="0.25">
      <c r="B49" s="9" t="s">
        <v>67</v>
      </c>
      <c r="C49" s="14">
        <f>[40]NºAsuntos!$E$36/Población!$W$49*1000</f>
        <v>152.5002274022051</v>
      </c>
      <c r="D49" s="14">
        <f>[40]NºAsuntos!$E$17/Población!$W$49*1000</f>
        <v>68.044484658729132</v>
      </c>
      <c r="E49" s="14">
        <f>[40]NºAsuntos!$E$28/Población!$W$49*1000</f>
        <v>72.259324687262122</v>
      </c>
      <c r="F49" s="14">
        <f>[40]NºAsuntos!$E$31/Población!$W$49*1000</f>
        <v>2.890641082721741</v>
      </c>
      <c r="G49" s="14">
        <f>[40]NºAsuntos!$E$35/Población!$W$49*1000</f>
        <v>9.3057769734920832</v>
      </c>
    </row>
    <row r="50" spans="2:7" ht="20.100000000000001" customHeight="1" thickBot="1" x14ac:dyDescent="0.25">
      <c r="B50" s="9" t="s">
        <v>68</v>
      </c>
      <c r="C50" s="14">
        <f>[41]NºAsuntos!$E$36/Población!$W$50*1000</f>
        <v>110.82043172396739</v>
      </c>
      <c r="D50" s="14">
        <f>[41]NºAsuntos!$E$17/Población!$W$50*1000</f>
        <v>46.413254980053757</v>
      </c>
      <c r="E50" s="14">
        <f>[41]NºAsuntos!$E$28/Población!$W$50*1000</f>
        <v>55.784411341702295</v>
      </c>
      <c r="F50" s="14">
        <f>[41]NºAsuntos!$E$31/Población!$W$50*1000</f>
        <v>1.9132777571699109</v>
      </c>
      <c r="G50" s="14">
        <f>[41]NºAsuntos!$E$35/Población!$W$50*1000</f>
        <v>6.7094876450414214</v>
      </c>
    </row>
    <row r="51" spans="2:7" ht="20.100000000000001" customHeight="1" thickBot="1" x14ac:dyDescent="0.25">
      <c r="B51" s="9" t="s">
        <v>69</v>
      </c>
      <c r="C51" s="14">
        <f>[42]NºAsuntos!$E$36/Población!$W$51*1000</f>
        <v>135.68792700882818</v>
      </c>
      <c r="D51" s="14">
        <f>[42]NºAsuntos!$E$17/Población!$W$51*1000</f>
        <v>55.254711343572311</v>
      </c>
      <c r="E51" s="14">
        <f>[42]NºAsuntos!$E$28/Población!$W$51*1000</f>
        <v>70.264578623016533</v>
      </c>
      <c r="F51" s="14">
        <f>[42]NºAsuntos!$E$31/Población!$W$51*1000</f>
        <v>2.681415220458228</v>
      </c>
      <c r="G51" s="14">
        <f>[42]NºAsuntos!$E$35/Población!$W$51*1000</f>
        <v>7.4872218217811213</v>
      </c>
    </row>
    <row r="52" spans="2:7" ht="20.100000000000001" customHeight="1" thickBot="1" x14ac:dyDescent="0.25">
      <c r="B52" s="9" t="s">
        <v>70</v>
      </c>
      <c r="C52" s="14">
        <f>[43]NºAsuntos!$E$36/Población!$W$52*1000</f>
        <v>118.92232976889359</v>
      </c>
      <c r="D52" s="14">
        <f>[43]NºAsuntos!$E$17/Población!$W$52*1000</f>
        <v>49.669284595535622</v>
      </c>
      <c r="E52" s="14">
        <f>[43]NºAsuntos!$E$28/Población!$W$52*1000</f>
        <v>62.188017623130918</v>
      </c>
      <c r="F52" s="14">
        <f>[43]NºAsuntos!$E$31/Población!$W$52*1000</f>
        <v>1.5887860998118246</v>
      </c>
      <c r="G52" s="14">
        <f>[43]NºAsuntos!$E$35/Población!$W$52*1000</f>
        <v>5.4762414504152259</v>
      </c>
    </row>
    <row r="53" spans="2:7" ht="20.100000000000001" customHeight="1" thickBot="1" x14ac:dyDescent="0.25">
      <c r="B53" s="9" t="s">
        <v>71</v>
      </c>
      <c r="C53" s="14">
        <f>[44]NºAsuntos!$E$36/Población!$W$53*1000</f>
        <v>161.16447710045736</v>
      </c>
      <c r="D53" s="14">
        <f>[44]NºAsuntos!$E$17/Población!$W$53*1000</f>
        <v>64.346857446531658</v>
      </c>
      <c r="E53" s="14">
        <f>[44]NºAsuntos!$E$28/Población!$W$53*1000</f>
        <v>89.015199882282701</v>
      </c>
      <c r="F53" s="14">
        <f>[44]NºAsuntos!$E$31/Población!$W$53*1000</f>
        <v>1.1589317397717889</v>
      </c>
      <c r="G53" s="14">
        <f>[44]NºAsuntos!$E$35/Población!$W$53*1000</f>
        <v>6.6434880318712306</v>
      </c>
    </row>
    <row r="54" spans="2:7" ht="20.100000000000001" customHeight="1" thickBot="1" x14ac:dyDescent="0.25">
      <c r="B54" s="9" t="s">
        <v>72</v>
      </c>
      <c r="C54" s="14">
        <f>[45]NºAsuntos!$E$36/Población!$W$54*1000</f>
        <v>88.334757887695574</v>
      </c>
      <c r="D54" s="14">
        <f>[45]NºAsuntos!$E$17/Población!$W$54*1000</f>
        <v>34.590657400869596</v>
      </c>
      <c r="E54" s="14">
        <f>[45]NºAsuntos!$E$28/Población!$W$54*1000</f>
        <v>49.730573414099375</v>
      </c>
      <c r="F54" s="14">
        <f>[45]NºAsuntos!$E$31/Población!$W$54*1000</f>
        <v>1.3675721877438776</v>
      </c>
      <c r="G54" s="14">
        <f>[45]NºAsuntos!$E$35/Población!$W$54*1000</f>
        <v>2.6459548849827192</v>
      </c>
    </row>
    <row r="55" spans="2:7" ht="20.100000000000001" customHeight="1" thickBot="1" x14ac:dyDescent="0.25">
      <c r="B55" s="9" t="s">
        <v>73</v>
      </c>
      <c r="C55" s="14">
        <f>[46]NºAsuntos!$E$36/Población!$W$55*1000</f>
        <v>105.83124119858529</v>
      </c>
      <c r="D55" s="14">
        <f>[46]NºAsuntos!$E$17/Población!$W$55*1000</f>
        <v>51.426340176176303</v>
      </c>
      <c r="E55" s="14">
        <f>[46]NºAsuntos!$E$28/Población!$W$55*1000</f>
        <v>47.958635641518292</v>
      </c>
      <c r="F55" s="14">
        <f>[46]NºAsuntos!$E$31/Población!$W$55*1000</f>
        <v>1.9326109418764794</v>
      </c>
      <c r="G55" s="14">
        <f>[46]NºAsuntos!$E$35/Población!$W$55*1000</f>
        <v>4.5136544390142133</v>
      </c>
    </row>
    <row r="56" spans="2:7" ht="20.100000000000001" customHeight="1" thickBot="1" x14ac:dyDescent="0.25">
      <c r="B56" s="9" t="s">
        <v>74</v>
      </c>
      <c r="C56" s="14">
        <f>[47]NºAsuntos!$E$36/Población!$W$56*1000</f>
        <v>140.76017104157398</v>
      </c>
      <c r="D56" s="14">
        <f>[47]NºAsuntos!$E$17/Población!$W$56*1000</f>
        <v>62.192196228187257</v>
      </c>
      <c r="E56" s="14">
        <f>[47]NºAsuntos!$E$28/Población!$W$56*1000</f>
        <v>68.716709303475199</v>
      </c>
      <c r="F56" s="14">
        <f>[47]NºAsuntos!$E$31/Población!$W$56*1000</f>
        <v>2.1217991497355282</v>
      </c>
      <c r="G56" s="14">
        <f>[47]NºAsuntos!$E$35/Población!$W$56*1000</f>
        <v>7.7294663601759854</v>
      </c>
    </row>
    <row r="57" spans="2:7" ht="20.100000000000001" customHeight="1" thickBot="1" x14ac:dyDescent="0.25">
      <c r="B57" s="9" t="s">
        <v>75</v>
      </c>
      <c r="C57" s="14">
        <f>[48]NºAsuntos!$E$36/Población!$W$57*1000</f>
        <v>118.5225690800811</v>
      </c>
      <c r="D57" s="14">
        <f>[48]NºAsuntos!$E$17/Población!$W$57*1000</f>
        <v>60.768906406141397</v>
      </c>
      <c r="E57" s="14">
        <f>[48]NºAsuntos!$E$28/Población!$W$57*1000</f>
        <v>46.932673034748468</v>
      </c>
      <c r="F57" s="14">
        <f>[48]NºAsuntos!$E$31/Población!$W$57*1000</f>
        <v>2.3182333675420375</v>
      </c>
      <c r="G57" s="14">
        <f>[48]NºAsuntos!$E$35/Población!$W$57*1000</f>
        <v>8.5027562716492007</v>
      </c>
    </row>
    <row r="58" spans="2:7" ht="20.100000000000001" customHeight="1" thickBot="1" x14ac:dyDescent="0.25">
      <c r="B58" s="9" t="s">
        <v>76</v>
      </c>
      <c r="C58" s="14">
        <f>[49]NºAsuntos!$E$36/Población!$W$58*1000</f>
        <v>112.45517854496963</v>
      </c>
      <c r="D58" s="14">
        <f>[49]NºAsuntos!$E$17/Población!$W$58*1000</f>
        <v>49.25174099866647</v>
      </c>
      <c r="E58" s="14">
        <f>[49]NºAsuntos!$E$28/Población!$W$58*1000</f>
        <v>53.898355311898058</v>
      </c>
      <c r="F58" s="14">
        <f>[49]NºAsuntos!$E$31/Población!$W$58*1000</f>
        <v>1.9025040746777302</v>
      </c>
      <c r="G58" s="14">
        <f>[49]NºAsuntos!$E$35/Población!$W$58*1000</f>
        <v>7.4025781597273665</v>
      </c>
    </row>
    <row r="59" spans="2:7" ht="20.100000000000001" customHeight="1" thickBot="1" x14ac:dyDescent="0.25">
      <c r="B59" s="9" t="s">
        <v>77</v>
      </c>
      <c r="C59" s="14">
        <f>[50]NºAsuntos!$E$36/Población!$W$59*1000</f>
        <v>122.51667266179614</v>
      </c>
      <c r="D59" s="14">
        <f>[50]NºAsuntos!$E$17/Población!$W$59*1000</f>
        <v>51.457850105224857</v>
      </c>
      <c r="E59" s="14">
        <f>[50]NºAsuntos!$E$28/Población!$W$59*1000</f>
        <v>62.804149456510501</v>
      </c>
      <c r="F59" s="14">
        <f>[50]NºAsuntos!$E$31/Población!$W$59*1000</f>
        <v>1.6889726828824583</v>
      </c>
      <c r="G59" s="14">
        <f>[50]NºAsuntos!$E$35/Población!$W$59*1000</f>
        <v>6.56570041717832</v>
      </c>
    </row>
    <row r="60" spans="2:7" ht="20.100000000000001" customHeight="1" thickBot="1" x14ac:dyDescent="0.25">
      <c r="B60" s="9" t="s">
        <v>78</v>
      </c>
      <c r="C60" s="14">
        <f>[51]NºAsuntos!$E$61/Población!$W$60*1000</f>
        <v>173.17432379036603</v>
      </c>
      <c r="D60" s="14">
        <f>[51]NºAsuntos!$E$21/Población!$W$60*1000</f>
        <v>52.360597243674945</v>
      </c>
      <c r="E60" s="14">
        <f>[51]NºAsuntos!$E$40/Población!$W$60*1000</f>
        <v>98.782283846402535</v>
      </c>
      <c r="F60" s="14">
        <f>[51]NºAsuntos!$E$47/Población!$W$60*1000</f>
        <v>11.099536621286683</v>
      </c>
      <c r="G60" s="14">
        <f>[51]NºAsuntos!$E$54/Población!$W$60*1000</f>
        <v>10.93190607900188</v>
      </c>
    </row>
    <row r="61" spans="2:7" ht="20.100000000000001" customHeight="1" thickBot="1" x14ac:dyDescent="0.25">
      <c r="B61" s="9" t="s">
        <v>79</v>
      </c>
      <c r="C61" s="14">
        <f>[52]NºAsuntos!$E$61/Población!$W$61*1000</f>
        <v>161.25479648972305</v>
      </c>
      <c r="D61" s="14">
        <f>[52]NºAsuntos!$E$21/Población!$W$61*1000</f>
        <v>50.926838316272708</v>
      </c>
      <c r="E61" s="14">
        <f>[52]NºAsuntos!$E$40/Población!$W$61*1000</f>
        <v>94.619816603099892</v>
      </c>
      <c r="F61" s="14">
        <f>[52]NºAsuntos!$E$47/Población!$W$61*1000</f>
        <v>5.4833586441149533</v>
      </c>
      <c r="G61" s="14">
        <f>[52]NºAsuntos!$E$54/Población!$W$61*1000</f>
        <v>10.224782926235495</v>
      </c>
    </row>
    <row r="62" spans="2:7" ht="20.100000000000001" customHeight="1" thickBot="1" x14ac:dyDescent="0.25">
      <c r="B62" s="12" t="s">
        <v>6</v>
      </c>
      <c r="C62" s="15">
        <f>[53]NºAsuntos!$E$60/Población!$W$62*1000</f>
        <v>141.08443397627022</v>
      </c>
      <c r="D62" s="15">
        <f>[53]NºAsuntos!$E$20/Población!$W$62*1000</f>
        <v>59.294853971734199</v>
      </c>
      <c r="E62" s="15">
        <f>[53]NºAsuntos!$E$39/Población!$W$62*1000</f>
        <v>67.881876894358385</v>
      </c>
      <c r="F62" s="15">
        <f>[53]NºAsuntos!$E$46/Población!$W$62*1000</f>
        <v>4.6272977710064049</v>
      </c>
      <c r="G62" s="15">
        <f>[53]NºAsuntos!$E$53/Población!$W$62*1000</f>
        <v>9.2768177140551771</v>
      </c>
    </row>
  </sheetData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54023-9DFD-4430-B814-F9EAB726B1D1}">
  <dimension ref="B8:H62"/>
  <sheetViews>
    <sheetView workbookViewId="0"/>
  </sheetViews>
  <sheetFormatPr baseColWidth="10" defaultColWidth="10.710937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0.7109375" style="1"/>
  </cols>
  <sheetData>
    <row r="8" spans="2:8" ht="13.5" thickBot="1" x14ac:dyDescent="0.25"/>
    <row r="9" spans="2:8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8" ht="20.100000000000001" customHeight="1" thickBot="1" x14ac:dyDescent="0.25">
      <c r="B10" s="9" t="s">
        <v>31</v>
      </c>
      <c r="C10" s="14">
        <f>[54]NºAsuntos!$E$36/Población!$W$10*1000</f>
        <v>99.750558913637491</v>
      </c>
      <c r="D10" s="14">
        <f>[54]NºAsuntos!$E$17/Población!$W$10*1000</f>
        <v>46.878881344704808</v>
      </c>
      <c r="E10" s="14">
        <f>[54]NºAsuntos!$E$28/Población!$W$10*1000</f>
        <v>43.427072120559743</v>
      </c>
      <c r="F10" s="14">
        <f>[54]NºAsuntos!$E$31/Población!$W$10*1000</f>
        <v>2.1295644613728575</v>
      </c>
      <c r="G10" s="14">
        <f>[54]NºAsuntos!$E$35/Población!$W$10*1000</f>
        <v>7.3150409870000823</v>
      </c>
      <c r="H10" s="3"/>
    </row>
    <row r="11" spans="2:8" ht="20.100000000000001" customHeight="1" thickBot="1" x14ac:dyDescent="0.25">
      <c r="B11" s="9" t="s">
        <v>32</v>
      </c>
      <c r="C11" s="14">
        <f>[55]NºAsuntos!$E$36/Población!$W$11*1000</f>
        <v>122.45916327357018</v>
      </c>
      <c r="D11" s="14">
        <f>[55]NºAsuntos!$E$17/Población!$W$11*1000</f>
        <v>56.315835902733717</v>
      </c>
      <c r="E11" s="14">
        <f>[55]NºAsuntos!$E$28/Población!$W$11*1000</f>
        <v>56.788265466089761</v>
      </c>
      <c r="F11" s="14">
        <f>[55]NºAsuntos!$E$31/Población!$W$11*1000</f>
        <v>2.4902192732130843</v>
      </c>
      <c r="G11" s="14">
        <f>[55]NºAsuntos!$E$35/Población!$W$11*1000</f>
        <v>6.8648426315336373</v>
      </c>
      <c r="H11" s="3"/>
    </row>
    <row r="12" spans="2:8" ht="20.100000000000001" customHeight="1" thickBot="1" x14ac:dyDescent="0.25">
      <c r="B12" s="9" t="s">
        <v>33</v>
      </c>
      <c r="C12" s="14">
        <f>[56]NºAsuntos!$E$36/Población!$W$12*1000</f>
        <v>126.59198242123446</v>
      </c>
      <c r="D12" s="14">
        <f>[56]NºAsuntos!$E$17/Población!$W$12*1000</f>
        <v>51.248168878588451</v>
      </c>
      <c r="E12" s="14">
        <f>[56]NºAsuntos!$E$28/Población!$W$12*1000</f>
        <v>63.959431095174587</v>
      </c>
      <c r="F12" s="14">
        <f>[56]NºAsuntos!$E$31/Población!$W$12*1000</f>
        <v>2.6674246233902528</v>
      </c>
      <c r="G12" s="14">
        <f>[56]NºAsuntos!$E$35/Población!$W$12*1000</f>
        <v>8.7169578240811596</v>
      </c>
      <c r="H12" s="3"/>
    </row>
    <row r="13" spans="2:8" ht="20.100000000000001" customHeight="1" thickBot="1" x14ac:dyDescent="0.25">
      <c r="B13" s="9" t="s">
        <v>34</v>
      </c>
      <c r="C13" s="14">
        <f>[57]NºAsuntos!$E$36/Población!$W$13*1000</f>
        <v>107.85130655284659</v>
      </c>
      <c r="D13" s="14">
        <f>[57]NºAsuntos!$E$17/Población!$W$13*1000</f>
        <v>52.33405070348234</v>
      </c>
      <c r="E13" s="14">
        <f>[57]NºAsuntos!$E$28/Población!$W$13*1000</f>
        <v>36.990522321401805</v>
      </c>
      <c r="F13" s="14">
        <f>[57]NºAsuntos!$E$31/Población!$W$13*1000</f>
        <v>7.1547181574577516</v>
      </c>
      <c r="G13" s="14">
        <f>[57]NºAsuntos!$E$35/Población!$W$13*1000</f>
        <v>11.372015370504696</v>
      </c>
      <c r="H13" s="3"/>
    </row>
    <row r="14" spans="2:8" ht="20.100000000000001" customHeight="1" thickBot="1" x14ac:dyDescent="0.25">
      <c r="B14" s="9" t="s">
        <v>35</v>
      </c>
      <c r="C14" s="14">
        <f>[58]NºAsuntos!$E$36/Población!$W$14*1000</f>
        <v>126.28979078703922</v>
      </c>
      <c r="D14" s="14">
        <f>[58]NºAsuntos!$E$17/Población!$W$14*1000</f>
        <v>61.443458734601577</v>
      </c>
      <c r="E14" s="14">
        <f>[58]NºAsuntos!$E$28/Población!$W$14*1000</f>
        <v>51.001589259452537</v>
      </c>
      <c r="F14" s="14">
        <f>[58]NºAsuntos!$E$31/Población!$W$14*1000</f>
        <v>2.524234229960308</v>
      </c>
      <c r="G14" s="14">
        <f>[58]NºAsuntos!$E$35/Población!$W$14*1000</f>
        <v>11.320508563024811</v>
      </c>
      <c r="H14" s="3"/>
    </row>
    <row r="15" spans="2:8" ht="20.100000000000001" customHeight="1" thickBot="1" x14ac:dyDescent="0.25">
      <c r="B15" s="9" t="s">
        <v>36</v>
      </c>
      <c r="C15" s="14">
        <f>[59]NºAsuntos!$E$36/Población!$W$15*1000</f>
        <v>89.489398501461295</v>
      </c>
      <c r="D15" s="14">
        <f>[59]NºAsuntos!$E$17/Población!$W$15*1000</f>
        <v>36.642869316567875</v>
      </c>
      <c r="E15" s="14">
        <f>[59]NºAsuntos!$E$28/Población!$W$15*1000</f>
        <v>45.334898782358401</v>
      </c>
      <c r="F15" s="14">
        <f>[59]NºAsuntos!$E$31/Población!$W$15*1000</f>
        <v>1.7863793310230334</v>
      </c>
      <c r="G15" s="14">
        <f>[59]NºAsuntos!$E$35/Población!$W$15*1000</f>
        <v>5.725251071511984</v>
      </c>
      <c r="H15" s="3"/>
    </row>
    <row r="16" spans="2:8" ht="20.100000000000001" customHeight="1" thickBot="1" x14ac:dyDescent="0.25">
      <c r="B16" s="9" t="s">
        <v>37</v>
      </c>
      <c r="C16" s="14">
        <f>[60]NºAsuntos!$E$36/Población!$W$16*1000</f>
        <v>104.06407709312583</v>
      </c>
      <c r="D16" s="14">
        <f>[60]NºAsuntos!$E$17/Población!$W$16*1000</f>
        <v>45.862110657175315</v>
      </c>
      <c r="E16" s="14">
        <f>[60]NºAsuntos!$E$28/Población!$W$16*1000</f>
        <v>50.69535766475655</v>
      </c>
      <c r="F16" s="14">
        <f>[60]NºAsuntos!$E$31/Población!$W$16*1000</f>
        <v>1.7120859535811257</v>
      </c>
      <c r="G16" s="14">
        <f>[60]NºAsuntos!$E$35/Población!$W$16*1000</f>
        <v>5.794522817612842</v>
      </c>
      <c r="H16" s="3"/>
    </row>
    <row r="17" spans="2:8" ht="20.100000000000001" customHeight="1" thickBot="1" x14ac:dyDescent="0.25">
      <c r="B17" s="9" t="s">
        <v>29</v>
      </c>
      <c r="C17" s="14">
        <f>[61]NºAsuntos!$E$36/Población!$W$17*1000</f>
        <v>125.42710706150342</v>
      </c>
      <c r="D17" s="14">
        <f>[61]NºAsuntos!$E$17/Población!$W$17*1000</f>
        <v>56.909245290739705</v>
      </c>
      <c r="E17" s="14">
        <f>[61]NºAsuntos!$E$28/Población!$W$17*1000</f>
        <v>59.574188752335871</v>
      </c>
      <c r="F17" s="14">
        <f>[61]NºAsuntos!$E$31/Población!$W$17*1000</f>
        <v>2.5566748052869204</v>
      </c>
      <c r="G17" s="14">
        <f>[61]NºAsuntos!$E$35/Población!$W$17*1000</f>
        <v>6.3869982131409158</v>
      </c>
      <c r="H17" s="3"/>
    </row>
    <row r="18" spans="2:8" ht="20.100000000000001" customHeight="1" thickBot="1" x14ac:dyDescent="0.25">
      <c r="B18" s="9" t="s">
        <v>38</v>
      </c>
      <c r="C18" s="14">
        <f>[62]NºAsuntos!$E$36/Población!$W$18*1000</f>
        <v>122.74490658351313</v>
      </c>
      <c r="D18" s="14">
        <f>[62]NºAsuntos!$E$17/Población!$W$18*1000</f>
        <v>54.746943425148693</v>
      </c>
      <c r="E18" s="14">
        <f>[62]NºAsuntos!$E$28/Población!$W$18*1000</f>
        <v>58.430582022247769</v>
      </c>
      <c r="F18" s="14">
        <f>[62]NºAsuntos!$E$31/Población!$W$18*1000</f>
        <v>1.7876610093565226</v>
      </c>
      <c r="G18" s="14">
        <f>[62]NºAsuntos!$E$35/Población!$W$18*1000</f>
        <v>7.7797201267601448</v>
      </c>
      <c r="H18" s="3"/>
    </row>
    <row r="19" spans="2:8" ht="20.100000000000001" customHeight="1" thickBot="1" x14ac:dyDescent="0.25">
      <c r="B19" s="9" t="s">
        <v>39</v>
      </c>
      <c r="C19" s="14">
        <f>[63]NºAsuntos!$E$36/Población!$W$19*1000</f>
        <v>98.735721203741733</v>
      </c>
      <c r="D19" s="14">
        <f>[63]NºAsuntos!$E$17/Población!$W$19*1000</f>
        <v>45.667891615424999</v>
      </c>
      <c r="E19" s="14">
        <f>[63]NºAsuntos!$E$28/Población!$W$19*1000</f>
        <v>38.824118496033215</v>
      </c>
      <c r="F19" s="14">
        <f>[63]NºAsuntos!$E$31/Población!$W$19*1000</f>
        <v>1.7672528055138288</v>
      </c>
      <c r="G19" s="14">
        <f>[63]NºAsuntos!$E$35/Población!$W$19*1000</f>
        <v>12.476458286769688</v>
      </c>
      <c r="H19" s="3"/>
    </row>
    <row r="20" spans="2:8" ht="20.100000000000001" customHeight="1" thickBot="1" x14ac:dyDescent="0.25">
      <c r="B20" s="9" t="s">
        <v>40</v>
      </c>
      <c r="C20" s="14">
        <f>[64]NºAsuntos!$E$36/Población!$W$20*1000</f>
        <v>110.31160916150596</v>
      </c>
      <c r="D20" s="14">
        <f>[64]NºAsuntos!$E$17/Población!$W$20*1000</f>
        <v>51.065144429933575</v>
      </c>
      <c r="E20" s="14">
        <f>[64]NºAsuntos!$E$28/Población!$W$20*1000</f>
        <v>48.590807599949443</v>
      </c>
      <c r="F20" s="14">
        <f>[64]NºAsuntos!$E$31/Población!$W$20*1000</f>
        <v>2.4631026105517408</v>
      </c>
      <c r="G20" s="14">
        <f>[64]NºAsuntos!$E$35/Población!$W$20*1000</f>
        <v>8.1925545210711821</v>
      </c>
      <c r="H20" s="3"/>
    </row>
    <row r="21" spans="2:8" ht="20.100000000000001" customHeight="1" thickBot="1" x14ac:dyDescent="0.25">
      <c r="B21" s="9" t="s">
        <v>41</v>
      </c>
      <c r="C21" s="14">
        <f>[65]NºAsuntos!$E$36/Población!$W$21*1000</f>
        <v>95.300314715652107</v>
      </c>
      <c r="D21" s="14">
        <f>[65]NºAsuntos!$E$17/Población!$W$21*1000</f>
        <v>43.308056823374187</v>
      </c>
      <c r="E21" s="14">
        <f>[65]NºAsuntos!$E$28/Población!$W$21*1000</f>
        <v>45.615800471303373</v>
      </c>
      <c r="F21" s="14">
        <f>[65]NºAsuntos!$E$31/Población!$W$21*1000</f>
        <v>1.3399801826685627</v>
      </c>
      <c r="G21" s="14">
        <f>[65]NºAsuntos!$E$35/Población!$W$21*1000</f>
        <v>5.0364772383059773</v>
      </c>
      <c r="H21" s="3"/>
    </row>
    <row r="22" spans="2:8" ht="20.100000000000001" customHeight="1" thickBot="1" x14ac:dyDescent="0.25">
      <c r="B22" s="9" t="s">
        <v>42</v>
      </c>
      <c r="C22" s="14">
        <f>[66]NºAsuntos!$E$36/Población!$W$22*1000</f>
        <v>137.2042441169861</v>
      </c>
      <c r="D22" s="14">
        <f>[66]NºAsuntos!$E$17/Población!$W$22*1000</f>
        <v>55.452823525634855</v>
      </c>
      <c r="E22" s="14">
        <f>[66]NºAsuntos!$E$28/Población!$W$22*1000</f>
        <v>69.633054030626994</v>
      </c>
      <c r="F22" s="14">
        <f>[66]NºAsuntos!$E$31/Población!$W$22*1000</f>
        <v>4.8268002183055634</v>
      </c>
      <c r="G22" s="14">
        <f>[66]NºAsuntos!$E$35/Población!$W$22*1000</f>
        <v>7.2915663424186965</v>
      </c>
      <c r="H22" s="3"/>
    </row>
    <row r="23" spans="2:8" ht="20.100000000000001" customHeight="1" thickBot="1" x14ac:dyDescent="0.25">
      <c r="B23" s="9" t="s">
        <v>5</v>
      </c>
      <c r="C23" s="14">
        <f>[67]NºAsuntos!$E$36/Población!$W$23*1000</f>
        <v>126.38856335339013</v>
      </c>
      <c r="D23" s="14">
        <f>[67]NºAsuntos!$E$17/Población!$W$23*1000</f>
        <v>61.768293621804361</v>
      </c>
      <c r="E23" s="14">
        <f>[67]NºAsuntos!$E$28/Población!$W$23*1000</f>
        <v>51.732485667408604</v>
      </c>
      <c r="F23" s="14">
        <f>[67]NºAsuntos!$E$31/Población!$W$23*1000</f>
        <v>2.360964026093785</v>
      </c>
      <c r="G23" s="14">
        <f>[67]NºAsuntos!$E$35/Población!$W$23*1000</f>
        <v>10.526820038083375</v>
      </c>
      <c r="H23" s="3"/>
    </row>
    <row r="24" spans="2:8" ht="20.100000000000001" customHeight="1" thickBot="1" x14ac:dyDescent="0.25">
      <c r="B24" s="9" t="s">
        <v>43</v>
      </c>
      <c r="C24" s="14">
        <f>[68]NºAsuntos!$E$36/Población!$W$24*1000</f>
        <v>114.33506397939577</v>
      </c>
      <c r="D24" s="14">
        <f>[68]NºAsuntos!$E$17/Población!$W$24*1000</f>
        <v>53.328086886608617</v>
      </c>
      <c r="E24" s="14">
        <f>[68]NºAsuntos!$E$28/Población!$W$24*1000</f>
        <v>52.46446724718259</v>
      </c>
      <c r="F24" s="14">
        <f>[68]NºAsuntos!$E$31/Población!$W$24*1000</f>
        <v>1.9418666448632518</v>
      </c>
      <c r="G24" s="14">
        <f>[68]NºAsuntos!$E$35/Población!$W$24*1000</f>
        <v>6.6006432007413158</v>
      </c>
      <c r="H24" s="3"/>
    </row>
    <row r="25" spans="2:8" ht="20.100000000000001" customHeight="1" thickBot="1" x14ac:dyDescent="0.25">
      <c r="B25" s="9" t="s">
        <v>44</v>
      </c>
      <c r="C25" s="14">
        <f>[69]NºAsuntos!$E$36/Población!$W$25*1000</f>
        <v>101.87965269361398</v>
      </c>
      <c r="D25" s="14">
        <f>[69]NºAsuntos!$E$17/Población!$W$25*1000</f>
        <v>45.019092918871841</v>
      </c>
      <c r="E25" s="14">
        <f>[69]NºAsuntos!$E$28/Población!$W$25*1000</f>
        <v>49.268054024535566</v>
      </c>
      <c r="F25" s="14">
        <f>[69]NºAsuntos!$E$31/Población!$W$25*1000</f>
        <v>1.703238589417996</v>
      </c>
      <c r="G25" s="14">
        <f>[69]NºAsuntos!$E$35/Población!$W$25*1000</f>
        <v>5.8892671607885649</v>
      </c>
      <c r="H25" s="3"/>
    </row>
    <row r="26" spans="2:8" ht="20.100000000000001" customHeight="1" thickBot="1" x14ac:dyDescent="0.25">
      <c r="B26" s="9" t="s">
        <v>45</v>
      </c>
      <c r="C26" s="14">
        <f>[70]NºAsuntos!$E$36/Población!$W$26*1000</f>
        <v>122.51074616144153</v>
      </c>
      <c r="D26" s="14">
        <f>[70]NºAsuntos!$E$17/Población!$W$26*1000</f>
        <v>43.37342573079691</v>
      </c>
      <c r="E26" s="14">
        <f>[70]NºAsuntos!$E$28/Población!$W$26*1000</f>
        <v>71.758225206587625</v>
      </c>
      <c r="F26" s="14">
        <f>[70]NºAsuntos!$E$31/Población!$W$26*1000</f>
        <v>1.8962678410739597</v>
      </c>
      <c r="G26" s="14">
        <f>[70]NºAsuntos!$E$35/Población!$W$26*1000</f>
        <v>5.4828273829830234</v>
      </c>
      <c r="H26" s="3"/>
    </row>
    <row r="27" spans="2:8" ht="20.100000000000001" customHeight="1" thickBot="1" x14ac:dyDescent="0.25">
      <c r="B27" s="9" t="s">
        <v>46</v>
      </c>
      <c r="C27" s="14">
        <f>[71]NºAsuntos!$E$36/Población!$W$27*1000</f>
        <v>105.29990161891345</v>
      </c>
      <c r="D27" s="14">
        <f>[71]NºAsuntos!$E$17/Población!$W$27*1000</f>
        <v>51.503659383609467</v>
      </c>
      <c r="E27" s="14">
        <f>[71]NºAsuntos!$E$28/Población!$W$27*1000</f>
        <v>41.751254760591138</v>
      </c>
      <c r="F27" s="14">
        <f>[71]NºAsuntos!$E$31/Población!$W$27*1000</f>
        <v>2.1202820376847771</v>
      </c>
      <c r="G27" s="14">
        <f>[71]NºAsuntos!$E$35/Población!$W$27*1000</f>
        <v>9.9247054370280701</v>
      </c>
      <c r="H27" s="3"/>
    </row>
    <row r="28" spans="2:8" ht="20.100000000000001" customHeight="1" thickBot="1" x14ac:dyDescent="0.25">
      <c r="B28" s="9" t="s">
        <v>47</v>
      </c>
      <c r="C28" s="14">
        <f>[72]NºAsuntos!$E$36/Población!$W$28*1000</f>
        <v>97.557233167617994</v>
      </c>
      <c r="D28" s="14">
        <f>[72]NºAsuntos!$E$17/Población!$W$28*1000</f>
        <v>36.528979725444465</v>
      </c>
      <c r="E28" s="14">
        <f>[72]NºAsuntos!$E$28/Población!$W$28*1000</f>
        <v>52.36911557110416</v>
      </c>
      <c r="F28" s="14">
        <f>[72]NºAsuntos!$E$31/Población!$W$28*1000</f>
        <v>2.1686204709588988</v>
      </c>
      <c r="G28" s="14">
        <f>[72]NºAsuntos!$E$35/Población!$W$28*1000</f>
        <v>6.4905174001104768</v>
      </c>
    </row>
    <row r="29" spans="2:8" ht="20.100000000000001" customHeight="1" thickBot="1" x14ac:dyDescent="0.25">
      <c r="B29" s="9" t="s">
        <v>48</v>
      </c>
      <c r="C29" s="14">
        <f>[73]NºAsuntos!$E$36/Población!$W$10*1000</f>
        <v>155.18909911401838</v>
      </c>
      <c r="D29" s="14">
        <f>[73]NºAsuntos!$E$17/Población!$W$10*1000</f>
        <v>63.115840026496642</v>
      </c>
      <c r="E29" s="14">
        <f>[73]NºAsuntos!$E$28/Población!$W$10*1000</f>
        <v>74.493355137865365</v>
      </c>
      <c r="F29" s="14">
        <f>[73]NºAsuntos!$E$31/Población!$W$10*1000</f>
        <v>4.613625072451768</v>
      </c>
      <c r="G29" s="14">
        <f>[73]NºAsuntos!$E$35/Población!$W$10*1000</f>
        <v>12.966278877204603</v>
      </c>
    </row>
    <row r="30" spans="2:8" ht="20.100000000000001" customHeight="1" thickBot="1" x14ac:dyDescent="0.25">
      <c r="B30" s="9" t="s">
        <v>49</v>
      </c>
      <c r="C30" s="14">
        <f>[74]NºAsuntos!$E$36/Población!$W$30*1000</f>
        <v>121.93807240311418</v>
      </c>
      <c r="D30" s="14">
        <f>[74]NºAsuntos!$E$17/Población!$W$30*1000</f>
        <v>50.427411275928172</v>
      </c>
      <c r="E30" s="14">
        <f>[74]NºAsuntos!$E$28/Población!$W$30*1000</f>
        <v>65.177041327441273</v>
      </c>
      <c r="F30" s="14">
        <f>[74]NºAsuntos!$E$31/Población!$W$30*1000</f>
        <v>1.4314845231859812</v>
      </c>
      <c r="G30" s="14">
        <f>[74]NºAsuntos!$E$35/Población!$W$30*1000</f>
        <v>4.9021352765587416</v>
      </c>
    </row>
    <row r="31" spans="2:8" ht="20.100000000000001" customHeight="1" thickBot="1" x14ac:dyDescent="0.25">
      <c r="B31" s="9" t="s">
        <v>50</v>
      </c>
      <c r="C31" s="14">
        <f>[75]NºAsuntos!$E$36/Población!$W$31*1000</f>
        <v>140.31007078835344</v>
      </c>
      <c r="D31" s="14">
        <f>[75]NºAsuntos!$E$17/Población!$W$31*1000</f>
        <v>50.773983055078588</v>
      </c>
      <c r="E31" s="14">
        <f>[75]NºAsuntos!$E$28/Población!$W$31*1000</f>
        <v>76.832823567463834</v>
      </c>
      <c r="F31" s="14">
        <f>[75]NºAsuntos!$E$31/Población!$W$31*1000</f>
        <v>4.1678515376550189</v>
      </c>
      <c r="G31" s="14">
        <f>[75]NºAsuntos!$E$35/Población!$W$31*1000</f>
        <v>8.5354126281560081</v>
      </c>
    </row>
    <row r="32" spans="2:8" ht="20.100000000000001" customHeight="1" thickBot="1" x14ac:dyDescent="0.25">
      <c r="B32" s="9" t="s">
        <v>51</v>
      </c>
      <c r="C32" s="14">
        <f>[76]NºAsuntos!$E$36/Población!$W$32*1000</f>
        <v>109.31216771842102</v>
      </c>
      <c r="D32" s="14">
        <f>[76]NºAsuntos!$E$17/Población!$W$32*1000</f>
        <v>48.560175911562268</v>
      </c>
      <c r="E32" s="14">
        <f>[76]NºAsuntos!$E$28/Población!$W$32*1000</f>
        <v>50.194285886410533</v>
      </c>
      <c r="F32" s="14">
        <f>[76]NºAsuntos!$E$31/Población!$W$32*1000</f>
        <v>2.3005557480006629</v>
      </c>
      <c r="G32" s="14">
        <f>[76]NºAsuntos!$E$35/Población!$W$32*1000</f>
        <v>8.2571501724475507</v>
      </c>
    </row>
    <row r="33" spans="2:7" ht="20.100000000000001" customHeight="1" thickBot="1" x14ac:dyDescent="0.25">
      <c r="B33" s="9" t="s">
        <v>52</v>
      </c>
      <c r="C33" s="14">
        <f>[77]NºAsuntos!$E$36/Población!$W$33*1000</f>
        <v>123.33336502895395</v>
      </c>
      <c r="D33" s="14">
        <f>[77]NºAsuntos!$E$17/Población!$W$33*1000</f>
        <v>48.359276198807606</v>
      </c>
      <c r="E33" s="14">
        <f>[77]NºAsuntos!$E$28/Población!$W$33*1000</f>
        <v>64.778875502771783</v>
      </c>
      <c r="F33" s="14">
        <f>[77]NºAsuntos!$E$31/Población!$W$33*1000</f>
        <v>2.9610048779560127</v>
      </c>
      <c r="G33" s="14">
        <f>[77]NºAsuntos!$E$35/Población!$W$33*1000</f>
        <v>7.2342084494185439</v>
      </c>
    </row>
    <row r="34" spans="2:7" ht="20.100000000000001" customHeight="1" thickBot="1" x14ac:dyDescent="0.25">
      <c r="B34" s="9" t="s">
        <v>53</v>
      </c>
      <c r="C34" s="14">
        <f>[78]NºAsuntos!$E$36/Población!$W$34*1000</f>
        <v>96.332893375664398</v>
      </c>
      <c r="D34" s="14">
        <f>[78]NºAsuntos!$E$17/Población!$W$34*1000</f>
        <v>40.372061498947666</v>
      </c>
      <c r="E34" s="14">
        <f>[78]NºAsuntos!$E$28/Población!$W$34*1000</f>
        <v>49.32133556879392</v>
      </c>
      <c r="F34" s="14">
        <f>[78]NºAsuntos!$E$31/Población!$W$34*1000</f>
        <v>1.5071522848071917</v>
      </c>
      <c r="G34" s="14">
        <f>[78]NºAsuntos!$E$35/Población!$W$34*1000</f>
        <v>5.1323440231156141</v>
      </c>
    </row>
    <row r="35" spans="2:7" ht="20.100000000000001" customHeight="1" thickBot="1" x14ac:dyDescent="0.25">
      <c r="B35" s="9" t="s">
        <v>54</v>
      </c>
      <c r="C35" s="14">
        <f>[79]NºAsuntos!$E$36/Población!$W$35*1000</f>
        <v>106.60087054959422</v>
      </c>
      <c r="D35" s="14">
        <f>[79]NºAsuntos!$E$17/Población!$W$35*1000</f>
        <v>41.269790653549961</v>
      </c>
      <c r="E35" s="14">
        <f>[79]NºAsuntos!$E$28/Población!$W$35*1000</f>
        <v>57.456273218641876</v>
      </c>
      <c r="F35" s="14">
        <f>[79]NºAsuntos!$E$31/Población!$W$35*1000</f>
        <v>2.445829812337569</v>
      </c>
      <c r="G35" s="14">
        <f>[79]NºAsuntos!$E$35/Población!$W$35*1000</f>
        <v>5.4289768650648123</v>
      </c>
    </row>
    <row r="36" spans="2:7" ht="20.100000000000001" customHeight="1" thickBot="1" x14ac:dyDescent="0.25">
      <c r="B36" s="9" t="s">
        <v>55</v>
      </c>
      <c r="C36" s="14">
        <f>[80]NºAsuntos!$E$36/Población!$W$36*1000</f>
        <v>118.91362966177115</v>
      </c>
      <c r="D36" s="14">
        <f>[80]NºAsuntos!$E$17/Población!$W$36*1000</f>
        <v>59.454601001536396</v>
      </c>
      <c r="E36" s="14">
        <f>[80]NºAsuntos!$E$28/Población!$W$36*1000</f>
        <v>47.831996918349546</v>
      </c>
      <c r="F36" s="14">
        <f>[80]NºAsuntos!$E$31/Población!$W$36*1000</f>
        <v>2.2470367894161245</v>
      </c>
      <c r="G36" s="14">
        <f>[80]NºAsuntos!$E$35/Población!$W$36*1000</f>
        <v>9.3799949524690831</v>
      </c>
    </row>
    <row r="37" spans="2:7" ht="20.100000000000001" customHeight="1" thickBot="1" x14ac:dyDescent="0.25">
      <c r="B37" s="9" t="s">
        <v>56</v>
      </c>
      <c r="C37" s="14">
        <f>[81]NºAsuntos!$E$36/Población!$W$37*1000</f>
        <v>116.65419680847434</v>
      </c>
      <c r="D37" s="14">
        <f>[81]NºAsuntos!$E$17/Población!$W$37*1000</f>
        <v>50.856554180207262</v>
      </c>
      <c r="E37" s="14">
        <f>[81]NºAsuntos!$E$28/Población!$W$37*1000</f>
        <v>60.339710775094552</v>
      </c>
      <c r="F37" s="14">
        <f>[81]NºAsuntos!$E$31/Población!$W$37*1000</f>
        <v>1.4713674620844297</v>
      </c>
      <c r="G37" s="14">
        <f>[81]NºAsuntos!$E$35/Población!$W$37*1000</f>
        <v>3.9865643910881068</v>
      </c>
    </row>
    <row r="38" spans="2:7" ht="20.100000000000001" customHeight="1" thickBot="1" x14ac:dyDescent="0.25">
      <c r="B38" s="9" t="s">
        <v>57</v>
      </c>
      <c r="C38" s="14">
        <f>[82]NºAsuntos!$E$36/Población!$W$38*1000</f>
        <v>110.72257854748123</v>
      </c>
      <c r="D38" s="14">
        <f>[82]NºAsuntos!$E$17/Población!$W$38*1000</f>
        <v>52.810777484333443</v>
      </c>
      <c r="E38" s="14">
        <f>[82]NºAsuntos!$E$28/Población!$W$38*1000</f>
        <v>44.268173355050259</v>
      </c>
      <c r="F38" s="14">
        <f>[82]NºAsuntos!$E$31/Población!$W$38*1000</f>
        <v>2.2882523089570048</v>
      </c>
      <c r="G38" s="14">
        <f>[82]NºAsuntos!$E$35/Población!$W$38*1000</f>
        <v>11.355375399140526</v>
      </c>
    </row>
    <row r="39" spans="2:7" ht="20.100000000000001" customHeight="1" thickBot="1" x14ac:dyDescent="0.25">
      <c r="B39" s="9" t="s">
        <v>58</v>
      </c>
      <c r="C39" s="14">
        <f>[83]NºAsuntos!$E$36/Población!$W$39*1000</f>
        <v>130.46293198105064</v>
      </c>
      <c r="D39" s="14">
        <f>[83]NºAsuntos!$E$17/Población!$W$39*1000</f>
        <v>64.041019953190897</v>
      </c>
      <c r="E39" s="14">
        <f>[83]NºAsuntos!$E$28/Población!$W$39*1000</f>
        <v>53.964665215380087</v>
      </c>
      <c r="F39" s="14">
        <f>[83]NºAsuntos!$E$31/Población!$W$39*1000</f>
        <v>2.9967779304902158</v>
      </c>
      <c r="G39" s="14">
        <f>[83]NºAsuntos!$E$35/Población!$W$39*1000</f>
        <v>9.4604688819894278</v>
      </c>
    </row>
    <row r="40" spans="2:7" ht="20.100000000000001" customHeight="1" thickBot="1" x14ac:dyDescent="0.25">
      <c r="B40" s="9" t="s">
        <v>59</v>
      </c>
      <c r="C40" s="14">
        <f>[84]NºAsuntos!$E$36/Población!$W$40*1000</f>
        <v>176.588814561487</v>
      </c>
      <c r="D40" s="14">
        <f>[84]NºAsuntos!$E$17/Población!$W$40*1000</f>
        <v>59.002707514694947</v>
      </c>
      <c r="E40" s="14">
        <f>[84]NºAsuntos!$E$28/Población!$W$40*1000</f>
        <v>106.10143242919682</v>
      </c>
      <c r="F40" s="14">
        <f>[84]NºAsuntos!$E$31/Población!$W$40*1000</f>
        <v>2.6143351432576631</v>
      </c>
      <c r="G40" s="14">
        <f>[84]NºAsuntos!$E$35/Población!$W$40*1000</f>
        <v>8.8703394743375839</v>
      </c>
    </row>
    <row r="41" spans="2:7" ht="20.100000000000001" customHeight="1" thickBot="1" x14ac:dyDescent="0.25">
      <c r="B41" s="9" t="s">
        <v>60</v>
      </c>
      <c r="C41" s="14">
        <f>[85]NºAsuntos!$E$36/Población!$W$41*1000</f>
        <v>126.8625459833018</v>
      </c>
      <c r="D41" s="14">
        <f>[85]NºAsuntos!$E$17/Población!$W$41*1000</f>
        <v>53.445998185034298</v>
      </c>
      <c r="E41" s="14">
        <f>[85]NºAsuntos!$E$28/Población!$W$41*1000</f>
        <v>63.855708910059093</v>
      </c>
      <c r="F41" s="14">
        <f>[85]NºAsuntos!$E$31/Población!$W$41*1000</f>
        <v>3.2249227190767646</v>
      </c>
      <c r="G41" s="14">
        <f>[85]NºAsuntos!$E$35/Población!$W$41*1000</f>
        <v>6.3359161691316217</v>
      </c>
    </row>
    <row r="42" spans="2:7" ht="20.100000000000001" customHeight="1" thickBot="1" x14ac:dyDescent="0.25">
      <c r="B42" s="9" t="s">
        <v>61</v>
      </c>
      <c r="C42" s="14">
        <f>[86]NºAsuntos!$E$36/Población!$W$42*1000</f>
        <v>96.593236659476347</v>
      </c>
      <c r="D42" s="14">
        <f>[86]NºAsuntos!$E$17/Población!$W$42*1000</f>
        <v>37.710664709608082</v>
      </c>
      <c r="E42" s="14">
        <f>[86]NºAsuntos!$E$28/Población!$W$42*1000</f>
        <v>50.010808163413387</v>
      </c>
      <c r="F42" s="14">
        <f>[86]NºAsuntos!$E$31/Población!$W$42*1000</f>
        <v>2.2493072949812327</v>
      </c>
      <c r="G42" s="14">
        <f>[86]NºAsuntos!$E$35/Población!$W$42*1000</f>
        <v>6.6224564914736437</v>
      </c>
    </row>
    <row r="43" spans="2:7" ht="20.100000000000001" customHeight="1" thickBot="1" x14ac:dyDescent="0.25">
      <c r="B43" s="9" t="s">
        <v>62</v>
      </c>
      <c r="C43" s="14">
        <f>[87]NºAsuntos!$E$36/Población!$W$43*1000</f>
        <v>109.08745409094334</v>
      </c>
      <c r="D43" s="14">
        <f>[87]NºAsuntos!$E$17/Población!$W$43*1000</f>
        <v>54.189887393807155</v>
      </c>
      <c r="E43" s="14">
        <f>[87]NºAsuntos!$E$28/Población!$W$43*1000</f>
        <v>39.649698744852124</v>
      </c>
      <c r="F43" s="14">
        <f>[87]NºAsuntos!$E$31/Población!$W$43*1000</f>
        <v>2.1263142030580919</v>
      </c>
      <c r="G43" s="14">
        <f>[87]NºAsuntos!$E$35/Población!$W$43*1000</f>
        <v>13.121553749225976</v>
      </c>
    </row>
    <row r="44" spans="2:7" ht="20.100000000000001" customHeight="1" thickBot="1" x14ac:dyDescent="0.25">
      <c r="B44" s="9" t="s">
        <v>63</v>
      </c>
      <c r="C44" s="14">
        <f>[88]NºAsuntos!$E$36/Población!$W$44*1000</f>
        <v>112.22764779447346</v>
      </c>
      <c r="D44" s="14">
        <f>[88]NºAsuntos!$E$17/Población!$W$44*1000</f>
        <v>46.976238507318243</v>
      </c>
      <c r="E44" s="14">
        <f>[88]NºAsuntos!$E$28/Población!$W$44*1000</f>
        <v>54.008534278514105</v>
      </c>
      <c r="F44" s="14">
        <f>[88]NºAsuntos!$E$31/Población!$W$44*1000</f>
        <v>2.3126763572833591</v>
      </c>
      <c r="G44" s="14">
        <f>[88]NºAsuntos!$E$35/Población!$W$44*1000</f>
        <v>8.9301986513577543</v>
      </c>
    </row>
    <row r="45" spans="2:7" ht="20.100000000000001" customHeight="1" thickBot="1" x14ac:dyDescent="0.25">
      <c r="B45" s="9" t="s">
        <v>64</v>
      </c>
      <c r="C45" s="14">
        <f>[89]NºAsuntos!$E$36/Población!$W$45*1000</f>
        <v>184.31884055402605</v>
      </c>
      <c r="D45" s="14">
        <f>[89]NºAsuntos!$E$17/Población!$W$45*1000</f>
        <v>77.312348088989381</v>
      </c>
      <c r="E45" s="14">
        <f>[89]NºAsuntos!$E$28/Población!$W$45*1000</f>
        <v>91.078819606588695</v>
      </c>
      <c r="F45" s="14">
        <f>[89]NºAsuntos!$E$31/Población!$W$45*1000</f>
        <v>2.7672947058099009</v>
      </c>
      <c r="G45" s="14">
        <f>[89]NºAsuntos!$E$35/Población!$W$45*1000</f>
        <v>13.160378152638057</v>
      </c>
    </row>
    <row r="46" spans="2:7" ht="20.100000000000001" customHeight="1" thickBot="1" x14ac:dyDescent="0.25">
      <c r="B46" s="9" t="s">
        <v>65</v>
      </c>
      <c r="C46" s="14">
        <f>[90]NºAsuntos!$E$36/Población!$W$46*1000</f>
        <v>120.74872256493077</v>
      </c>
      <c r="D46" s="14">
        <f>[90]NºAsuntos!$E$17/Población!$W$46*1000</f>
        <v>56.837256095946628</v>
      </c>
      <c r="E46" s="14">
        <f>[90]NºAsuntos!$E$28/Población!$W$46*1000</f>
        <v>51.572899843795504</v>
      </c>
      <c r="F46" s="14">
        <f>[90]NºAsuntos!$E$31/Población!$W$46*1000</f>
        <v>2.2853511953615211</v>
      </c>
      <c r="G46" s="14">
        <f>[90]NºAsuntos!$E$35/Población!$W$46*1000</f>
        <v>10.053215429827116</v>
      </c>
    </row>
    <row r="47" spans="2:7" ht="20.100000000000001" customHeight="1" thickBot="1" x14ac:dyDescent="0.25">
      <c r="B47" s="9" t="s">
        <v>30</v>
      </c>
      <c r="C47" s="14">
        <f>[91]NºAsuntos!$E$36/Población!$W$47*1000</f>
        <v>92.524609438517047</v>
      </c>
      <c r="D47" s="14">
        <f>[91]NºAsuntos!$E$17/Población!$W$47*1000</f>
        <v>41.81102953132622</v>
      </c>
      <c r="E47" s="14">
        <f>[91]NºAsuntos!$E$28/Población!$W$47*1000</f>
        <v>41.179376852743623</v>
      </c>
      <c r="F47" s="14">
        <f>[91]NºAsuntos!$E$31/Población!$W$47*1000</f>
        <v>2.5954045704136384</v>
      </c>
      <c r="G47" s="14">
        <f>[91]NºAsuntos!$E$35/Población!$W$47*1000</f>
        <v>6.9387984840335717</v>
      </c>
    </row>
    <row r="48" spans="2:7" ht="20.100000000000001" customHeight="1" thickBot="1" x14ac:dyDescent="0.25">
      <c r="B48" s="9" t="s">
        <v>66</v>
      </c>
      <c r="C48" s="14">
        <f>[92]NºAsuntos!$E$36/Población!$W$48*1000</f>
        <v>95.182960731720726</v>
      </c>
      <c r="D48" s="14">
        <f>[92]NºAsuntos!$E$17/Población!$W$48*1000</f>
        <v>46.590985464565676</v>
      </c>
      <c r="E48" s="14">
        <f>[92]NºAsuntos!$E$28/Población!$W$48*1000</f>
        <v>39.488235401939278</v>
      </c>
      <c r="F48" s="14">
        <f>[92]NºAsuntos!$E$31/Población!$W$48*1000</f>
        <v>2.4256273332152087</v>
      </c>
      <c r="G48" s="14">
        <f>[92]NºAsuntos!$E$35/Población!$W$48*1000</f>
        <v>6.6781125320005623</v>
      </c>
    </row>
    <row r="49" spans="2:7" ht="20.100000000000001" customHeight="1" thickBot="1" x14ac:dyDescent="0.25">
      <c r="B49" s="9" t="s">
        <v>67</v>
      </c>
      <c r="C49" s="14">
        <f>[93]NºAsuntos!$E$36/Población!$W$49*1000</f>
        <v>143.22221743480736</v>
      </c>
      <c r="D49" s="14">
        <f>[93]NºAsuntos!$E$17/Población!$W$49*1000</f>
        <v>61.982659983435546</v>
      </c>
      <c r="E49" s="14">
        <f>[93]NºAsuntos!$E$28/Población!$W$49*1000</f>
        <v>68.898559466873479</v>
      </c>
      <c r="F49" s="14">
        <f>[93]NºAsuntos!$E$31/Población!$W$49*1000</f>
        <v>4.1717532949382656</v>
      </c>
      <c r="G49" s="14">
        <f>[93]NºAsuntos!$E$35/Población!$W$49*1000</f>
        <v>8.1692446895600845</v>
      </c>
    </row>
    <row r="50" spans="2:7" ht="20.100000000000001" customHeight="1" thickBot="1" x14ac:dyDescent="0.25">
      <c r="B50" s="9" t="s">
        <v>68</v>
      </c>
      <c r="C50" s="14">
        <f>[94]NºAsuntos!$E$36/Población!$W$50*1000</f>
        <v>103.52524680632293</v>
      </c>
      <c r="D50" s="14">
        <f>[94]NºAsuntos!$E$17/Población!$W$50*1000</f>
        <v>39.378379961343981</v>
      </c>
      <c r="E50" s="14">
        <f>[94]NºAsuntos!$E$28/Población!$W$50*1000</f>
        <v>54.443815362188687</v>
      </c>
      <c r="F50" s="14">
        <f>[94]NºAsuntos!$E$31/Población!$W$50*1000</f>
        <v>2.1215256763176562</v>
      </c>
      <c r="G50" s="14">
        <f>[94]NºAsuntos!$E$35/Población!$W$50*1000</f>
        <v>7.5815258064726052</v>
      </c>
    </row>
    <row r="51" spans="2:7" ht="20.100000000000001" customHeight="1" thickBot="1" x14ac:dyDescent="0.25">
      <c r="B51" s="9" t="s">
        <v>69</v>
      </c>
      <c r="C51" s="14">
        <f>[95]NºAsuntos!$E$36/Población!$W$51*1000</f>
        <v>129.77320658859094</v>
      </c>
      <c r="D51" s="14">
        <f>[95]NºAsuntos!$E$17/Población!$W$51*1000</f>
        <v>51.139408948934516</v>
      </c>
      <c r="E51" s="14">
        <f>[95]NºAsuntos!$E$28/Población!$W$51*1000</f>
        <v>68.308577859098122</v>
      </c>
      <c r="F51" s="14">
        <f>[95]NºAsuntos!$E$31/Población!$W$51*1000</f>
        <v>2.7748514774223092</v>
      </c>
      <c r="G51" s="14">
        <f>[95]NºAsuntos!$E$35/Población!$W$51*1000</f>
        <v>7.5503683031359667</v>
      </c>
    </row>
    <row r="52" spans="2:7" ht="20.100000000000001" customHeight="1" thickBot="1" x14ac:dyDescent="0.25">
      <c r="B52" s="9" t="s">
        <v>70</v>
      </c>
      <c r="C52" s="14">
        <f>[96]NºAsuntos!$E$36/Población!$W$52*1000</f>
        <v>111.19249101378074</v>
      </c>
      <c r="D52" s="14">
        <f>[96]NºAsuntos!$E$17/Población!$W$52*1000</f>
        <v>48.655165808421692</v>
      </c>
      <c r="E52" s="14">
        <f>[96]NºAsuntos!$E$28/Población!$W$52*1000</f>
        <v>54.67227061196435</v>
      </c>
      <c r="F52" s="14">
        <f>[96]NºAsuntos!$E$31/Población!$W$52*1000</f>
        <v>2.5578329408318026</v>
      </c>
      <c r="G52" s="14">
        <f>[96]NºAsuntos!$E$35/Población!$W$52*1000</f>
        <v>5.3072216525629035</v>
      </c>
    </row>
    <row r="53" spans="2:7" ht="20.100000000000001" customHeight="1" thickBot="1" x14ac:dyDescent="0.25">
      <c r="B53" s="9" t="s">
        <v>71</v>
      </c>
      <c r="C53" s="14">
        <f>[97]NºAsuntos!$E$36/Población!$W$53*1000</f>
        <v>143.37432765541908</v>
      </c>
      <c r="D53" s="14">
        <f>[97]NºAsuntos!$E$17/Población!$W$53*1000</f>
        <v>53.218437351409264</v>
      </c>
      <c r="E53" s="14">
        <f>[97]NºAsuntos!$E$28/Población!$W$53*1000</f>
        <v>82.436164507502653</v>
      </c>
      <c r="F53" s="14">
        <f>[97]NºAsuntos!$E$31/Población!$W$53*1000</f>
        <v>1.3109427234774276</v>
      </c>
      <c r="G53" s="14">
        <f>[97]NºAsuntos!$E$35/Población!$W$53*1000</f>
        <v>6.4087830730297251</v>
      </c>
    </row>
    <row r="54" spans="2:7" ht="20.100000000000001" customHeight="1" thickBot="1" x14ac:dyDescent="0.25">
      <c r="B54" s="9" t="s">
        <v>72</v>
      </c>
      <c r="C54" s="14">
        <f>[98]NºAsuntos!$E$36/Población!$W$54*1000</f>
        <v>79.683377308707122</v>
      </c>
      <c r="D54" s="14">
        <f>[98]NºAsuntos!$E$17/Población!$W$54*1000</f>
        <v>30.443346092385447</v>
      </c>
      <c r="E54" s="14">
        <f>[98]NºAsuntos!$E$28/Población!$W$54*1000</f>
        <v>44.810286521238247</v>
      </c>
      <c r="F54" s="14">
        <f>[98]NºAsuntos!$E$31/Población!$W$54*1000</f>
        <v>1.4344643056226543</v>
      </c>
      <c r="G54" s="14">
        <f>[98]NºAsuntos!$E$35/Población!$W$54*1000</f>
        <v>2.9952803894607753</v>
      </c>
    </row>
    <row r="55" spans="2:7" ht="20.100000000000001" customHeight="1" thickBot="1" x14ac:dyDescent="0.25">
      <c r="B55" s="9" t="s">
        <v>73</v>
      </c>
      <c r="C55" s="14">
        <f>[99]NºAsuntos!$E$36/Población!$W$55*1000</f>
        <v>100.0855649045747</v>
      </c>
      <c r="D55" s="14">
        <f>[99]NºAsuntos!$E$17/Población!$W$55*1000</f>
        <v>48.022069261054718</v>
      </c>
      <c r="E55" s="14">
        <f>[99]NºAsuntos!$E$28/Población!$W$55*1000</f>
        <v>45.329664520730809</v>
      </c>
      <c r="F55" s="14">
        <f>[99]NºAsuntos!$E$31/Población!$W$55*1000</f>
        <v>1.6915631876380561</v>
      </c>
      <c r="G55" s="14">
        <f>[99]NºAsuntos!$E$35/Población!$W$55*1000</f>
        <v>5.0422679351511066</v>
      </c>
    </row>
    <row r="56" spans="2:7" ht="20.100000000000001" customHeight="1" thickBot="1" x14ac:dyDescent="0.25">
      <c r="B56" s="9" t="s">
        <v>74</v>
      </c>
      <c r="C56" s="14">
        <f>[100]NºAsuntos!$E$36/Población!$W$56*1000</f>
        <v>130.7362728014237</v>
      </c>
      <c r="D56" s="14">
        <f>[100]NºAsuntos!$E$17/Población!$W$56*1000</f>
        <v>57.941646275149537</v>
      </c>
      <c r="E56" s="14">
        <f>[100]NºAsuntos!$E$28/Población!$W$56*1000</f>
        <v>63.027939468090366</v>
      </c>
      <c r="F56" s="14">
        <f>[100]NºAsuntos!$E$31/Población!$W$56*1000</f>
        <v>2.0024624301745018</v>
      </c>
      <c r="G56" s="14">
        <f>[100]NºAsuntos!$E$35/Población!$W$56*1000</f>
        <v>7.7642246280092939</v>
      </c>
    </row>
    <row r="57" spans="2:7" ht="20.100000000000001" customHeight="1" thickBot="1" x14ac:dyDescent="0.25">
      <c r="B57" s="9" t="s">
        <v>75</v>
      </c>
      <c r="C57" s="14">
        <f>[101]NºAsuntos!$E$36/Población!$W$57*1000</f>
        <v>115.03559181378655</v>
      </c>
      <c r="D57" s="14">
        <f>[101]NºAsuntos!$E$17/Población!$W$57*1000</f>
        <v>59.128428973296032</v>
      </c>
      <c r="E57" s="14">
        <f>[101]NºAsuntos!$E$28/Población!$W$57*1000</f>
        <v>44.475807771473022</v>
      </c>
      <c r="F57" s="14">
        <f>[101]NºAsuntos!$E$31/Población!$W$57*1000</f>
        <v>2.4491634912902587</v>
      </c>
      <c r="G57" s="14">
        <f>[101]NºAsuntos!$E$35/Población!$W$57*1000</f>
        <v>8.9821915777272459</v>
      </c>
    </row>
    <row r="58" spans="2:7" ht="20.100000000000001" customHeight="1" thickBot="1" x14ac:dyDescent="0.25">
      <c r="B58" s="9" t="s">
        <v>76</v>
      </c>
      <c r="C58" s="14">
        <f>[102]NºAsuntos!$E$36/Población!$W$58*1000</f>
        <v>107.57741887687065</v>
      </c>
      <c r="D58" s="14">
        <f>[102]NºAsuntos!$E$17/Población!$W$58*1000</f>
        <v>48.125648244184326</v>
      </c>
      <c r="E58" s="14">
        <f>[102]NºAsuntos!$E$28/Población!$W$58*1000</f>
        <v>50.448955400800116</v>
      </c>
      <c r="F58" s="14">
        <f>[102]NºAsuntos!$E$31/Población!$W$58*1000</f>
        <v>2.0447473699807377</v>
      </c>
      <c r="G58" s="14">
        <f>[102]NºAsuntos!$E$35/Población!$W$58*1000</f>
        <v>6.9580678619054668</v>
      </c>
    </row>
    <row r="59" spans="2:7" ht="20.100000000000001" customHeight="1" thickBot="1" x14ac:dyDescent="0.25">
      <c r="B59" s="9" t="s">
        <v>77</v>
      </c>
      <c r="C59" s="14">
        <f>[103]NºAsuntos!$E$36/Población!$W$59*1000</f>
        <v>114.6372119753745</v>
      </c>
      <c r="D59" s="14">
        <f>[103]NºAsuntos!$E$17/Población!$W$59*1000</f>
        <v>46.401268486705284</v>
      </c>
      <c r="E59" s="14">
        <f>[103]NºAsuntos!$E$28/Población!$W$59*1000</f>
        <v>58.552775744946523</v>
      </c>
      <c r="F59" s="14">
        <f>[103]NºAsuntos!$E$31/Población!$W$59*1000</f>
        <v>2.0652187395343646</v>
      </c>
      <c r="G59" s="14">
        <f>[103]NºAsuntos!$E$35/Población!$W$59*1000</f>
        <v>7.6179490041883211</v>
      </c>
    </row>
    <row r="60" spans="2:7" ht="20.100000000000001" customHeight="1" thickBot="1" x14ac:dyDescent="0.25">
      <c r="B60" s="9" t="s">
        <v>78</v>
      </c>
      <c r="C60" s="14">
        <f>[104]NºAsuntos!$E$61/Población!$W$60*1000</f>
        <v>171.11486284229557</v>
      </c>
      <c r="D60" s="14">
        <f>[104]NºAsuntos!$E$21/Población!$W$60*1000</f>
        <v>49.367194702874869</v>
      </c>
      <c r="E60" s="14">
        <f>[104]NºAsuntos!$E$40/Población!$W$60*1000</f>
        <v>106.33763185938193</v>
      </c>
      <c r="F60" s="14">
        <f>[104]NºAsuntos!$E$47/Población!$W$60*1000</f>
        <v>6.1185147933953568</v>
      </c>
      <c r="G60" s="14">
        <f>[104]NºAsuntos!$E$54/Población!$W$60*1000</f>
        <v>9.2915214866434379</v>
      </c>
    </row>
    <row r="61" spans="2:7" ht="20.100000000000001" customHeight="1" thickBot="1" x14ac:dyDescent="0.25">
      <c r="B61" s="9" t="s">
        <v>79</v>
      </c>
      <c r="C61" s="14">
        <f>[105]NºAsuntos!$E$61/Población!$W$61*1000</f>
        <v>157.02345208147366</v>
      </c>
      <c r="D61" s="14">
        <f>[105]NºAsuntos!$E$21/Población!$W$61*1000</f>
        <v>44.92180707388043</v>
      </c>
      <c r="E61" s="14">
        <f>[105]NºAsuntos!$E$40/Población!$W$61*1000</f>
        <v>90.805810273472375</v>
      </c>
      <c r="F61" s="14">
        <f>[105]NºAsuntos!$E$47/Población!$W$61*1000</f>
        <v>12.70562594915431</v>
      </c>
      <c r="G61" s="14">
        <f>[105]NºAsuntos!$E$54/Población!$W$61*1000</f>
        <v>8.5902087849665563</v>
      </c>
    </row>
    <row r="62" spans="2:7" ht="20.100000000000001" customHeight="1" thickBot="1" x14ac:dyDescent="0.25">
      <c r="B62" s="12" t="s">
        <v>6</v>
      </c>
      <c r="C62" s="15">
        <f>[106]NºAsuntos!$E$60/Población!$W$62*1000</f>
        <v>132.38526611325369</v>
      </c>
      <c r="D62" s="15">
        <f>[106]NºAsuntos!$E$20/Población!$W$62*1000</f>
        <v>54.597892962444931</v>
      </c>
      <c r="E62" s="15">
        <f>[106]NºAsuntos!$E$39/Población!$W$62*1000</f>
        <v>63.63429758637033</v>
      </c>
      <c r="F62" s="15">
        <f>[106]NºAsuntos!$E$46/Población!$W$62*1000</f>
        <v>4.7403501695163417</v>
      </c>
      <c r="G62" s="15">
        <f>[106]NºAsuntos!$E$53/Población!$W$62*1000</f>
        <v>9.4088001109715762</v>
      </c>
    </row>
  </sheetData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8:H62"/>
  <sheetViews>
    <sheetView workbookViewId="0"/>
  </sheetViews>
  <sheetFormatPr baseColWidth="10" defaultColWidth="10.7109375" defaultRowHeight="12.75" x14ac:dyDescent="0.2"/>
  <cols>
    <col min="1" max="1" width="7.5703125" style="1" customWidth="1"/>
    <col min="2" max="2" width="32.140625" style="1" bestFit="1" customWidth="1"/>
    <col min="3" max="4" width="11.5703125" style="1" bestFit="1" customWidth="1"/>
    <col min="5" max="5" width="12.7109375" style="1" bestFit="1" customWidth="1"/>
    <col min="6" max="6" width="19" style="1" customWidth="1"/>
    <col min="7" max="7" width="11.5703125" style="1" bestFit="1" customWidth="1"/>
    <col min="8" max="16384" width="10.7109375" style="1"/>
  </cols>
  <sheetData>
    <row r="8" spans="2:8" ht="13.5" thickBot="1" x14ac:dyDescent="0.25"/>
    <row r="9" spans="2:8" ht="29.25" thickBot="1" x14ac:dyDescent="0.25">
      <c r="B9" s="10"/>
      <c r="C9" s="10" t="s">
        <v>0</v>
      </c>
      <c r="D9" s="10" t="s">
        <v>2</v>
      </c>
      <c r="E9" s="10" t="s">
        <v>1</v>
      </c>
      <c r="F9" s="10" t="s">
        <v>3</v>
      </c>
      <c r="G9" s="10" t="s">
        <v>4</v>
      </c>
    </row>
    <row r="10" spans="2:8" ht="20.100000000000001" customHeight="1" thickBot="1" x14ac:dyDescent="0.25">
      <c r="B10" s="9" t="s">
        <v>31</v>
      </c>
      <c r="C10" s="14">
        <f>[107]NºAsuntos!$E$36/Población!$V$10*1000</f>
        <v>89.68243747907384</v>
      </c>
      <c r="D10" s="14">
        <f>[107]NºAsuntos!$E$17/Población!$V$10*1000</f>
        <v>42.248950472609266</v>
      </c>
      <c r="E10" s="14">
        <f>[107]NºAsuntos!$E$28/Población!$V$10*1000</f>
        <v>38.663816416411265</v>
      </c>
      <c r="F10" s="14">
        <f>[107]NºAsuntos!$E$31/Población!$V$10*1000</f>
        <v>1.8981636490071343</v>
      </c>
      <c r="G10" s="14">
        <f>[107]NºAsuntos!$E$35/Población!$V$10*1000</f>
        <v>6.8715069410461789</v>
      </c>
      <c r="H10" s="3"/>
    </row>
    <row r="11" spans="2:8" ht="20.100000000000001" customHeight="1" thickBot="1" x14ac:dyDescent="0.25">
      <c r="B11" s="9" t="s">
        <v>32</v>
      </c>
      <c r="C11" s="14">
        <f>[108]NºAsuntos!$E$36/Población!$V$11*1000</f>
        <v>111.130556714017</v>
      </c>
      <c r="D11" s="14">
        <f>[108]NºAsuntos!$E$17/Población!$V$11*1000</f>
        <v>49.50294911186198</v>
      </c>
      <c r="E11" s="14">
        <f>[108]NºAsuntos!$E$28/Población!$V$11*1000</f>
        <v>53.250512796507024</v>
      </c>
      <c r="F11" s="14">
        <f>[108]NºAsuntos!$E$31/Población!$V$11*1000</f>
        <v>2.2208769884163311</v>
      </c>
      <c r="G11" s="14">
        <f>[108]NºAsuntos!$E$35/Población!$V$11*1000</f>
        <v>6.1562178172316644</v>
      </c>
      <c r="H11" s="3"/>
    </row>
    <row r="12" spans="2:8" ht="20.100000000000001" customHeight="1" thickBot="1" x14ac:dyDescent="0.25">
      <c r="B12" s="9" t="s">
        <v>33</v>
      </c>
      <c r="C12" s="14">
        <f>[109]NºAsuntos!$E$36/Población!$V$12*1000</f>
        <v>114.76965979572633</v>
      </c>
      <c r="D12" s="14">
        <f>[109]NºAsuntos!$E$17/Población!$V$12*1000</f>
        <v>45.120167045587237</v>
      </c>
      <c r="E12" s="14">
        <f>[109]NºAsuntos!$E$28/Población!$V$12*1000</f>
        <v>59.314920770113126</v>
      </c>
      <c r="F12" s="14">
        <f>[109]NºAsuntos!$E$31/Población!$V$12*1000</f>
        <v>2.5468957132750414</v>
      </c>
      <c r="G12" s="14">
        <f>[109]NºAsuntos!$E$35/Población!$V$12*1000</f>
        <v>7.7876762667509221</v>
      </c>
      <c r="H12" s="3"/>
    </row>
    <row r="13" spans="2:8" ht="20.100000000000001" customHeight="1" thickBot="1" x14ac:dyDescent="0.25">
      <c r="B13" s="9" t="s">
        <v>34</v>
      </c>
      <c r="C13" s="14">
        <f>[110]NºAsuntos!$E$36/Población!$V$13*1000</f>
        <v>87.78523087979876</v>
      </c>
      <c r="D13" s="14">
        <f>[110]NºAsuntos!$E$17/Población!$V$13*1000</f>
        <v>39.336407737916986</v>
      </c>
      <c r="E13" s="14">
        <f>[110]NºAsuntos!$E$28/Población!$V$13*1000</f>
        <v>32.173444331317008</v>
      </c>
      <c r="F13" s="14">
        <f>[110]NºAsuntos!$E$31/Población!$V$13*1000</f>
        <v>6.7796610169491522</v>
      </c>
      <c r="G13" s="14">
        <f>[110]NºAsuntos!$E$35/Población!$V$13*1000</f>
        <v>9.4957177936156203</v>
      </c>
      <c r="H13" s="3"/>
    </row>
    <row r="14" spans="2:8" ht="20.100000000000001" customHeight="1" thickBot="1" x14ac:dyDescent="0.25">
      <c r="B14" s="9" t="s">
        <v>35</v>
      </c>
      <c r="C14" s="14">
        <f>[111]NºAsuntos!$E$36/Población!$V$14*1000</f>
        <v>111.44756886641331</v>
      </c>
      <c r="D14" s="14">
        <f>[111]NºAsuntos!$E$17/Población!$V$14*1000</f>
        <v>55.006753148851963</v>
      </c>
      <c r="E14" s="14">
        <f>[111]NºAsuntos!$E$28/Población!$V$14*1000</f>
        <v>44.045646574740083</v>
      </c>
      <c r="F14" s="14">
        <f>[111]NºAsuntos!$E$31/Población!$V$14*1000</f>
        <v>3.4835647202939972</v>
      </c>
      <c r="G14" s="14">
        <f>[111]NºAsuntos!$E$35/Población!$V$14*1000</f>
        <v>8.9116044225272475</v>
      </c>
      <c r="H14" s="3"/>
    </row>
    <row r="15" spans="2:8" ht="20.100000000000001" customHeight="1" thickBot="1" x14ac:dyDescent="0.25">
      <c r="B15" s="9" t="s">
        <v>36</v>
      </c>
      <c r="C15" s="14">
        <f>[112]NºAsuntos!$E$36/Población!$V$15*1000</f>
        <v>79.605997564440841</v>
      </c>
      <c r="D15" s="14">
        <f>[112]NºAsuntos!$E$17/Población!$V$15*1000</f>
        <v>34.74477369596103</v>
      </c>
      <c r="E15" s="14">
        <f>[112]NºAsuntos!$E$28/Población!$V$15*1000</f>
        <v>39.406586157905416</v>
      </c>
      <c r="F15" s="14">
        <f>[112]NºAsuntos!$E$31/Población!$V$15*1000</f>
        <v>1.5856504972599959</v>
      </c>
      <c r="G15" s="14">
        <f>[112]NºAsuntos!$E$35/Población!$V$15*1000</f>
        <v>3.8689872133143899</v>
      </c>
      <c r="H15" s="3"/>
    </row>
    <row r="16" spans="2:8" ht="20.100000000000001" customHeight="1" thickBot="1" x14ac:dyDescent="0.25">
      <c r="B16" s="9" t="s">
        <v>37</v>
      </c>
      <c r="C16" s="14">
        <f>[113]NºAsuntos!$E$36/Población!$V$16*1000</f>
        <v>90.64967409917918</v>
      </c>
      <c r="D16" s="14">
        <f>[113]NºAsuntos!$E$17/Población!$V$16*1000</f>
        <v>40.014163779110511</v>
      </c>
      <c r="E16" s="14">
        <f>[113]NºAsuntos!$E$28/Población!$V$16*1000</f>
        <v>43.714302292538576</v>
      </c>
      <c r="F16" s="14">
        <f>[113]NºAsuntos!$E$31/Población!$V$16*1000</f>
        <v>1.3196714360316424</v>
      </c>
      <c r="G16" s="14">
        <f>[113]NºAsuntos!$E$35/Población!$V$16*1000</f>
        <v>5.6015365914984594</v>
      </c>
      <c r="H16" s="3"/>
    </row>
    <row r="17" spans="2:8" ht="20.100000000000001" customHeight="1" thickBot="1" x14ac:dyDescent="0.25">
      <c r="B17" s="9" t="s">
        <v>29</v>
      </c>
      <c r="C17" s="14">
        <f>[114]NºAsuntos!$E$36/Población!$V$17*1000</f>
        <v>112.60790256951729</v>
      </c>
      <c r="D17" s="14">
        <f>[114]NºAsuntos!$E$17/Población!$V$17*1000</f>
        <v>51.00794422398495</v>
      </c>
      <c r="E17" s="14">
        <f>[114]NºAsuntos!$E$28/Población!$V$17*1000</f>
        <v>53.953632090328739</v>
      </c>
      <c r="F17" s="14">
        <f>[114]NºAsuntos!$E$31/Población!$V$17*1000</f>
        <v>1.7643398492415558</v>
      </c>
      <c r="G17" s="14">
        <f>[114]NºAsuntos!$E$35/Población!$V$17*1000</f>
        <v>5.8819864059620519</v>
      </c>
      <c r="H17" s="3"/>
    </row>
    <row r="18" spans="2:8" ht="20.100000000000001" customHeight="1" thickBot="1" x14ac:dyDescent="0.25">
      <c r="B18" s="9" t="s">
        <v>38</v>
      </c>
      <c r="C18" s="14">
        <f>[115]NºAsuntos!$E$36/Población!$V$18*1000</f>
        <v>105.3579394233592</v>
      </c>
      <c r="D18" s="14">
        <f>[115]NºAsuntos!$E$17/Población!$V$18*1000</f>
        <v>44.133947092681304</v>
      </c>
      <c r="E18" s="14">
        <f>[115]NºAsuntos!$E$28/Población!$V$18*1000</f>
        <v>52.513127237132281</v>
      </c>
      <c r="F18" s="14">
        <f>[115]NºAsuntos!$E$31/Población!$V$18*1000</f>
        <v>1.269108448268117</v>
      </c>
      <c r="G18" s="14">
        <f>[115]NºAsuntos!$E$35/Población!$V$18*1000</f>
        <v>7.4417566452774846</v>
      </c>
      <c r="H18" s="3"/>
    </row>
    <row r="19" spans="2:8" ht="20.100000000000001" customHeight="1" thickBot="1" x14ac:dyDescent="0.25">
      <c r="B19" s="9" t="s">
        <v>39</v>
      </c>
      <c r="C19" s="14">
        <f>[116]NºAsuntos!$E$36/Población!$V$19*1000</f>
        <v>84.84160066514697</v>
      </c>
      <c r="D19" s="14">
        <f>[116]NºAsuntos!$E$17/Población!$V$19*1000</f>
        <v>38.746191058982632</v>
      </c>
      <c r="E19" s="14">
        <f>[116]NºAsuntos!$E$28/Población!$V$19*1000</f>
        <v>34.16209334999651</v>
      </c>
      <c r="F19" s="14">
        <f>[116]NºAsuntos!$E$31/Población!$V$19*1000</f>
        <v>1.3057994226538088</v>
      </c>
      <c r="G19" s="14">
        <f>[116]NºAsuntos!$E$35/Población!$V$19*1000</f>
        <v>10.627516833514024</v>
      </c>
      <c r="H19" s="3"/>
    </row>
    <row r="20" spans="2:8" ht="20.100000000000001" customHeight="1" thickBot="1" x14ac:dyDescent="0.25">
      <c r="B20" s="9" t="s">
        <v>40</v>
      </c>
      <c r="C20" s="14">
        <f>[117]NºAsuntos!$E$36/Población!$V$20*1000</f>
        <v>95.213197259890961</v>
      </c>
      <c r="D20" s="14">
        <f>[117]NºAsuntos!$E$17/Población!$V$20*1000</f>
        <v>42.460506081364464</v>
      </c>
      <c r="E20" s="14">
        <f>[117]NºAsuntos!$E$28/Población!$V$20*1000</f>
        <v>42.837970082482876</v>
      </c>
      <c r="F20" s="14">
        <f>[117]NºAsuntos!$E$31/Población!$V$20*1000</f>
        <v>1.9516286872640851</v>
      </c>
      <c r="G20" s="14">
        <f>[117]NºAsuntos!$E$35/Población!$V$20*1000</f>
        <v>7.9630924087795325</v>
      </c>
      <c r="H20" s="3"/>
    </row>
    <row r="21" spans="2:8" ht="20.100000000000001" customHeight="1" thickBot="1" x14ac:dyDescent="0.25">
      <c r="B21" s="9" t="s">
        <v>41</v>
      </c>
      <c r="C21" s="14">
        <f>[118]NºAsuntos!$E$36/Población!$V$21*1000</f>
        <v>75.595253285696046</v>
      </c>
      <c r="D21" s="14">
        <f>[118]NºAsuntos!$E$17/Población!$V$21*1000</f>
        <v>31.162434605078474</v>
      </c>
      <c r="E21" s="14">
        <f>[118]NºAsuntos!$E$28/Población!$V$21*1000</f>
        <v>39.59168048998341</v>
      </c>
      <c r="F21" s="14">
        <f>[118]NºAsuntos!$E$31/Población!$V$21*1000</f>
        <v>0.86257496491004215</v>
      </c>
      <c r="G21" s="14">
        <f>[118]NºAsuntos!$E$35/Población!$V$21*1000</f>
        <v>3.9785632257241295</v>
      </c>
      <c r="H21" s="3"/>
    </row>
    <row r="22" spans="2:8" ht="20.100000000000001" customHeight="1" thickBot="1" x14ac:dyDescent="0.25">
      <c r="B22" s="9" t="s">
        <v>42</v>
      </c>
      <c r="C22" s="14">
        <f>[119]NºAsuntos!$E$36/Población!$V$22*1000</f>
        <v>122.05708939117351</v>
      </c>
      <c r="D22" s="14">
        <f>[119]NºAsuntos!$E$17/Población!$V$22*1000</f>
        <v>47.735258016364305</v>
      </c>
      <c r="E22" s="14">
        <f>[119]NºAsuntos!$E$28/Población!$V$22*1000</f>
        <v>62.516026297999517</v>
      </c>
      <c r="F22" s="14">
        <f>[119]NºAsuntos!$E$31/Población!$V$22*1000</f>
        <v>4.7136407006476428</v>
      </c>
      <c r="G22" s="14">
        <f>[119]NºAsuntos!$E$35/Población!$V$22*1000</f>
        <v>7.0921643761620317</v>
      </c>
      <c r="H22" s="3"/>
    </row>
    <row r="23" spans="2:8" ht="20.100000000000001" customHeight="1" thickBot="1" x14ac:dyDescent="0.25">
      <c r="B23" s="9" t="s">
        <v>5</v>
      </c>
      <c r="C23" s="14">
        <f>[120]NºAsuntos!$E$36/Población!$V$23*1000</f>
        <v>113.04243401583449</v>
      </c>
      <c r="D23" s="14">
        <f>[120]NºAsuntos!$E$17/Población!$V$23*1000</f>
        <v>58.467503280980601</v>
      </c>
      <c r="E23" s="14">
        <f>[120]NºAsuntos!$E$28/Población!$V$23*1000</f>
        <v>44.635060601641776</v>
      </c>
      <c r="F23" s="14">
        <f>[120]NºAsuntos!$E$31/Población!$V$23*1000</f>
        <v>1.8407802300546401</v>
      </c>
      <c r="G23" s="14">
        <f>[120]NºAsuntos!$E$35/Población!$V$23*1000</f>
        <v>8.099089903157461</v>
      </c>
      <c r="H23" s="3"/>
    </row>
    <row r="24" spans="2:8" ht="20.100000000000001" customHeight="1" thickBot="1" x14ac:dyDescent="0.25">
      <c r="B24" s="9" t="s">
        <v>43</v>
      </c>
      <c r="C24" s="14">
        <f>[121]NºAsuntos!$E$36/Población!$V$24*1000</f>
        <v>102.46930446216636</v>
      </c>
      <c r="D24" s="14">
        <f>[121]NºAsuntos!$E$17/Población!$V$24*1000</f>
        <v>47.061937533086287</v>
      </c>
      <c r="E24" s="14">
        <f>[121]NºAsuntos!$E$28/Población!$V$24*1000</f>
        <v>47.237828514831193</v>
      </c>
      <c r="F24" s="14">
        <f>[121]NºAsuntos!$E$31/Población!$V$24*1000</f>
        <v>2.050923000734302</v>
      </c>
      <c r="G24" s="14">
        <f>[121]NºAsuntos!$E$35/Población!$V$24*1000</f>
        <v>6.1186154135145747</v>
      </c>
      <c r="H24" s="3"/>
    </row>
    <row r="25" spans="2:8" ht="20.100000000000001" customHeight="1" thickBot="1" x14ac:dyDescent="0.25">
      <c r="B25" s="9" t="s">
        <v>44</v>
      </c>
      <c r="C25" s="14">
        <f>[122]NºAsuntos!$E$36/Población!$V$25*1000</f>
        <v>90.757405892393621</v>
      </c>
      <c r="D25" s="14">
        <f>[122]NºAsuntos!$E$17/Población!$V$25*1000</f>
        <v>38.794453029522572</v>
      </c>
      <c r="E25" s="14">
        <f>[122]NºAsuntos!$E$28/Población!$V$25*1000</f>
        <v>44.628266117221671</v>
      </c>
      <c r="F25" s="14">
        <f>[122]NºAsuntos!$E$31/Población!$V$25*1000</f>
        <v>1.6180347241159894</v>
      </c>
      <c r="G25" s="14">
        <f>[122]NºAsuntos!$E$35/Población!$V$25*1000</f>
        <v>5.7166520215333954</v>
      </c>
      <c r="H25" s="3"/>
    </row>
    <row r="26" spans="2:8" ht="20.100000000000001" customHeight="1" thickBot="1" x14ac:dyDescent="0.25">
      <c r="B26" s="9" t="s">
        <v>45</v>
      </c>
      <c r="C26" s="14">
        <f>[123]NºAsuntos!$E$36/Población!$V$26*1000</f>
        <v>109.85077759194114</v>
      </c>
      <c r="D26" s="14">
        <f>[123]NºAsuntos!$E$17/Población!$V$26*1000</f>
        <v>38.120112457466945</v>
      </c>
      <c r="E26" s="14">
        <f>[123]NºAsuntos!$E$28/Población!$V$26*1000</f>
        <v>64.515881354045234</v>
      </c>
      <c r="F26" s="14">
        <f>[123]NºAsuntos!$E$31/Población!$V$26*1000</f>
        <v>1.7070808022511967</v>
      </c>
      <c r="G26" s="14">
        <f>[123]NºAsuntos!$E$35/Población!$V$26*1000</f>
        <v>5.5077029781777744</v>
      </c>
      <c r="H26" s="3"/>
    </row>
    <row r="27" spans="2:8" ht="20.100000000000001" customHeight="1" thickBot="1" x14ac:dyDescent="0.25">
      <c r="B27" s="9" t="s">
        <v>46</v>
      </c>
      <c r="C27" s="14">
        <f>[124]NºAsuntos!$E$36/Población!$V$27*1000</f>
        <v>95.138681511657438</v>
      </c>
      <c r="D27" s="14">
        <f>[124]NºAsuntos!$E$17/Población!$V$27*1000</f>
        <v>46.469337635884706</v>
      </c>
      <c r="E27" s="14">
        <f>[124]NºAsuntos!$E$28/Población!$V$27*1000</f>
        <v>38.010723693300584</v>
      </c>
      <c r="F27" s="14">
        <f>[124]NºAsuntos!$E$31/Población!$V$27*1000</f>
        <v>2.0386605634618897</v>
      </c>
      <c r="G27" s="14">
        <f>[124]NºAsuntos!$E$35/Población!$V$27*1000</f>
        <v>8.619959619010265</v>
      </c>
      <c r="H27" s="3"/>
    </row>
    <row r="28" spans="2:8" ht="20.100000000000001" customHeight="1" thickBot="1" x14ac:dyDescent="0.25">
      <c r="B28" s="9" t="s">
        <v>47</v>
      </c>
      <c r="C28" s="14">
        <f>[125]NºAsuntos!$E$36/Población!$V$28*1000</f>
        <v>85.842183349563328</v>
      </c>
      <c r="D28" s="14">
        <f>[125]NºAsuntos!$E$17/Población!$V$28*1000</f>
        <v>31.691810399767512</v>
      </c>
      <c r="E28" s="14">
        <f>[125]NºAsuntos!$E$28/Población!$V$28*1000</f>
        <v>45.426967609705365</v>
      </c>
      <c r="F28" s="14">
        <f>[125]NºAsuntos!$E$31/Población!$V$28*1000</f>
        <v>2.7123621513314538</v>
      </c>
      <c r="G28" s="14">
        <f>[125]NºAsuntos!$E$35/Población!$V$28*1000</f>
        <v>6.0110431887589924</v>
      </c>
    </row>
    <row r="29" spans="2:8" ht="20.100000000000001" customHeight="1" thickBot="1" x14ac:dyDescent="0.25">
      <c r="B29" s="9" t="s">
        <v>48</v>
      </c>
      <c r="C29" s="14">
        <f>[126]NºAsuntos!$E$36/Población!$V$10*1000</f>
        <v>134.87006464573622</v>
      </c>
      <c r="D29" s="14">
        <f>[126]NºAsuntos!$E$17/Población!$V$10*1000</f>
        <v>52.654080923068996</v>
      </c>
      <c r="E29" s="14">
        <f>[126]NºAsuntos!$E$28/Población!$V$10*1000</f>
        <v>68.23087027068793</v>
      </c>
      <c r="F29" s="14">
        <f>[126]NºAsuntos!$E$31/Población!$V$10*1000</f>
        <v>3.9251036649754036</v>
      </c>
      <c r="G29" s="14">
        <f>[126]NºAsuntos!$E$35/Población!$V$10*1000</f>
        <v>10.060009787003889</v>
      </c>
    </row>
    <row r="30" spans="2:8" ht="20.100000000000001" customHeight="1" thickBot="1" x14ac:dyDescent="0.25">
      <c r="B30" s="9" t="s">
        <v>49</v>
      </c>
      <c r="C30" s="14">
        <f>[127]NºAsuntos!$E$36/Población!$V$30*1000</f>
        <v>103.95785046585519</v>
      </c>
      <c r="D30" s="14">
        <f>[127]NºAsuntos!$E$17/Población!$V$30*1000</f>
        <v>42.235235127681676</v>
      </c>
      <c r="E30" s="14">
        <f>[127]NºAsuntos!$E$28/Población!$V$30*1000</f>
        <v>55.871924358010098</v>
      </c>
      <c r="F30" s="14">
        <f>[127]NºAsuntos!$E$31/Población!$V$30*1000</f>
        <v>1.2317917389368984</v>
      </c>
      <c r="G30" s="14">
        <f>[127]NºAsuntos!$E$35/Población!$V$30*1000</f>
        <v>4.6188992412265213</v>
      </c>
    </row>
    <row r="31" spans="2:8" ht="20.100000000000001" customHeight="1" thickBot="1" x14ac:dyDescent="0.25">
      <c r="B31" s="9" t="s">
        <v>50</v>
      </c>
      <c r="C31" s="14">
        <f>[128]NºAsuntos!$E$36/Población!$V$31*1000</f>
        <v>123.88268521097339</v>
      </c>
      <c r="D31" s="14">
        <f>[128]NºAsuntos!$E$17/Población!$V$31*1000</f>
        <v>44.930850508285758</v>
      </c>
      <c r="E31" s="14">
        <f>[128]NºAsuntos!$E$28/Población!$V$31*1000</f>
        <v>66.008607784431149</v>
      </c>
      <c r="F31" s="14">
        <f>[128]NºAsuntos!$E$31/Población!$V$31*1000</f>
        <v>4.5617340899596162</v>
      </c>
      <c r="G31" s="14">
        <f>[128]NºAsuntos!$E$35/Población!$V$31*1000</f>
        <v>8.3814928282968957</v>
      </c>
    </row>
    <row r="32" spans="2:8" ht="20.100000000000001" customHeight="1" thickBot="1" x14ac:dyDescent="0.25">
      <c r="B32" s="9" t="s">
        <v>51</v>
      </c>
      <c r="C32" s="14">
        <f>[129]NºAsuntos!$E$36/Población!$V$32*1000</f>
        <v>93.921639725948964</v>
      </c>
      <c r="D32" s="14">
        <f>[129]NºAsuntos!$E$17/Población!$V$32*1000</f>
        <v>43.706940972155962</v>
      </c>
      <c r="E32" s="14">
        <f>[129]NºAsuntos!$E$28/Población!$V$32*1000</f>
        <v>41.771789537968282</v>
      </c>
      <c r="F32" s="14">
        <f>[129]NºAsuntos!$E$31/Población!$V$32*1000</f>
        <v>1.8588140995057159</v>
      </c>
      <c r="G32" s="14">
        <f>[129]NºAsuntos!$E$35/Población!$V$32*1000</f>
        <v>6.5840951163190136</v>
      </c>
    </row>
    <row r="33" spans="2:7" ht="20.100000000000001" customHeight="1" thickBot="1" x14ac:dyDescent="0.25">
      <c r="B33" s="9" t="s">
        <v>52</v>
      </c>
      <c r="C33" s="14">
        <f>[130]NºAsuntos!$E$36/Población!$V$33*1000</f>
        <v>110.53105413540145</v>
      </c>
      <c r="D33" s="14">
        <f>[130]NºAsuntos!$E$17/Población!$V$33*1000</f>
        <v>45.330912225956453</v>
      </c>
      <c r="E33" s="14">
        <f>[130]NºAsuntos!$E$28/Población!$V$33*1000</f>
        <v>56.447152083436649</v>
      </c>
      <c r="F33" s="14">
        <f>[130]NºAsuntos!$E$31/Población!$V$33*1000</f>
        <v>2.0466241192649703</v>
      </c>
      <c r="G33" s="14">
        <f>[130]NºAsuntos!$E$35/Población!$V$33*1000</f>
        <v>6.7063657067433695</v>
      </c>
    </row>
    <row r="34" spans="2:7" ht="20.100000000000001" customHeight="1" thickBot="1" x14ac:dyDescent="0.25">
      <c r="B34" s="9" t="s">
        <v>53</v>
      </c>
      <c r="C34" s="14">
        <f>[131]NºAsuntos!$E$36/Población!$V$34*1000</f>
        <v>85.707742257069341</v>
      </c>
      <c r="D34" s="14">
        <f>[131]NºAsuntos!$E$17/Población!$V$34*1000</f>
        <v>36.180827798659102</v>
      </c>
      <c r="E34" s="14">
        <f>[131]NºAsuntos!$E$28/Población!$V$34*1000</f>
        <v>43.796898786188684</v>
      </c>
      <c r="F34" s="14">
        <f>[131]NºAsuntos!$E$31/Población!$V$34*1000</f>
        <v>1.4145414864810251</v>
      </c>
      <c r="G34" s="14">
        <f>[131]NºAsuntos!$E$35/Población!$V$34*1000</f>
        <v>4.3154741857405234</v>
      </c>
    </row>
    <row r="35" spans="2:7" ht="20.100000000000001" customHeight="1" thickBot="1" x14ac:dyDescent="0.25">
      <c r="B35" s="9" t="s">
        <v>54</v>
      </c>
      <c r="C35" s="14">
        <f>[132]NºAsuntos!$E$36/Población!$V$35*1000</f>
        <v>97.261400010453272</v>
      </c>
      <c r="D35" s="14">
        <f>[132]NºAsuntos!$E$17/Población!$V$35*1000</f>
        <v>38.974882044280712</v>
      </c>
      <c r="E35" s="14">
        <f>[132]NºAsuntos!$E$28/Población!$V$35*1000</f>
        <v>51.495056075491661</v>
      </c>
      <c r="F35" s="14">
        <f>[132]NºAsuntos!$E$31/Población!$V$35*1000</f>
        <v>1.9576135487130593</v>
      </c>
      <c r="G35" s="14">
        <f>[132]NºAsuntos!$E$35/Población!$V$35*1000</f>
        <v>4.8338483419678457</v>
      </c>
    </row>
    <row r="36" spans="2:7" ht="20.100000000000001" customHeight="1" thickBot="1" x14ac:dyDescent="0.25">
      <c r="B36" s="9" t="s">
        <v>55</v>
      </c>
      <c r="C36" s="14">
        <f>[133]NºAsuntos!$E$36/Población!$V$36*1000</f>
        <v>100.62242709321509</v>
      </c>
      <c r="D36" s="14">
        <f>[133]NºAsuntos!$E$17/Población!$V$36*1000</f>
        <v>48.25617442856548</v>
      </c>
      <c r="E36" s="14">
        <f>[133]NºAsuntos!$E$28/Población!$V$36*1000</f>
        <v>42.380252344782107</v>
      </c>
      <c r="F36" s="14">
        <f>[133]NºAsuntos!$E$31/Población!$V$36*1000</f>
        <v>1.5642835077633594</v>
      </c>
      <c r="G36" s="14">
        <f>[133]NºAsuntos!$E$35/Población!$V$36*1000</f>
        <v>8.4217168121041368</v>
      </c>
    </row>
    <row r="37" spans="2:7" ht="20.100000000000001" customHeight="1" thickBot="1" x14ac:dyDescent="0.25">
      <c r="B37" s="9" t="s">
        <v>56</v>
      </c>
      <c r="C37" s="14">
        <f>[134]NºAsuntos!$E$36/Población!$V$37*1000</f>
        <v>100.13978933541915</v>
      </c>
      <c r="D37" s="14">
        <f>[134]NºAsuntos!$E$17/Población!$V$37*1000</f>
        <v>43.628867295908712</v>
      </c>
      <c r="E37" s="14">
        <f>[134]NºAsuntos!$E$28/Población!$V$37*1000</f>
        <v>51.870280969722955</v>
      </c>
      <c r="F37" s="14">
        <f>[134]NºAsuntos!$E$31/Población!$V$37*1000</f>
        <v>1.1789736771892536</v>
      </c>
      <c r="G37" s="14">
        <f>[134]NºAsuntos!$E$35/Población!$V$37*1000</f>
        <v>3.4616673925982346</v>
      </c>
    </row>
    <row r="38" spans="2:7" ht="20.100000000000001" customHeight="1" thickBot="1" x14ac:dyDescent="0.25">
      <c r="B38" s="9" t="s">
        <v>57</v>
      </c>
      <c r="C38" s="14">
        <f>[135]NºAsuntos!$E$36/Población!$V$38*1000</f>
        <v>97.290407567099464</v>
      </c>
      <c r="D38" s="14">
        <f>[135]NºAsuntos!$E$17/Población!$V$38*1000</f>
        <v>47.34011087191184</v>
      </c>
      <c r="E38" s="14">
        <f>[135]NºAsuntos!$E$28/Población!$V$38*1000</f>
        <v>38.826514121227277</v>
      </c>
      <c r="F38" s="14">
        <f>[135]NºAsuntos!$E$31/Población!$V$38*1000</f>
        <v>1.6893025071200747</v>
      </c>
      <c r="G38" s="14">
        <f>[135]NºAsuntos!$E$35/Población!$V$38*1000</f>
        <v>9.4344800668402726</v>
      </c>
    </row>
    <row r="39" spans="2:7" ht="20.100000000000001" customHeight="1" thickBot="1" x14ac:dyDescent="0.25">
      <c r="B39" s="9" t="s">
        <v>58</v>
      </c>
      <c r="C39" s="14">
        <f>[136]NºAsuntos!$E$36/Población!$V$39*1000</f>
        <v>114.07017343059354</v>
      </c>
      <c r="D39" s="14">
        <f>[136]NºAsuntos!$E$17/Población!$V$39*1000</f>
        <v>53.756050247437713</v>
      </c>
      <c r="E39" s="14">
        <f>[136]NºAsuntos!$E$28/Población!$V$39*1000</f>
        <v>48.832222597187446</v>
      </c>
      <c r="F39" s="14">
        <f>[136]NºAsuntos!$E$31/Población!$V$39*1000</f>
        <v>2.3919274182700363</v>
      </c>
      <c r="G39" s="14">
        <f>[136]NºAsuntos!$E$35/Población!$V$39*1000</f>
        <v>9.0899731676983464</v>
      </c>
    </row>
    <row r="40" spans="2:7" ht="20.100000000000001" customHeight="1" thickBot="1" x14ac:dyDescent="0.25">
      <c r="B40" s="9" t="s">
        <v>59</v>
      </c>
      <c r="C40" s="14">
        <f>[137]NºAsuntos!$E$36/Población!$V$40*1000</f>
        <v>156.32177090253393</v>
      </c>
      <c r="D40" s="14">
        <f>[137]NºAsuntos!$E$17/Población!$V$40*1000</f>
        <v>51.275861250830403</v>
      </c>
      <c r="E40" s="14">
        <f>[137]NºAsuntos!$E$28/Población!$V$40*1000</f>
        <v>92.859091771851567</v>
      </c>
      <c r="F40" s="14">
        <f>[137]NºAsuntos!$E$31/Población!$V$40*1000</f>
        <v>2.9420138559362248</v>
      </c>
      <c r="G40" s="14">
        <f>[137]NºAsuntos!$E$35/Población!$V$40*1000</f>
        <v>9.2448040239157265</v>
      </c>
    </row>
    <row r="41" spans="2:7" ht="20.100000000000001" customHeight="1" thickBot="1" x14ac:dyDescent="0.25">
      <c r="B41" s="9" t="s">
        <v>60</v>
      </c>
      <c r="C41" s="14">
        <f>[138]NºAsuntos!$E$36/Población!$V$41*1000</f>
        <v>115.003397847214</v>
      </c>
      <c r="D41" s="14">
        <f>[138]NºAsuntos!$E$17/Población!$V$41*1000</f>
        <v>48.217006969722433</v>
      </c>
      <c r="E41" s="14">
        <f>[138]NºAsuntos!$E$28/Población!$V$41*1000</f>
        <v>57.045454395067395</v>
      </c>
      <c r="F41" s="14">
        <f>[138]NºAsuntos!$E$31/Población!$V$41*1000</f>
        <v>2.725556509143749</v>
      </c>
      <c r="G41" s="14">
        <f>[138]NºAsuntos!$E$35/Población!$V$41*1000</f>
        <v>7.0153799732804147</v>
      </c>
    </row>
    <row r="42" spans="2:7" ht="20.100000000000001" customHeight="1" thickBot="1" x14ac:dyDescent="0.25">
      <c r="B42" s="9" t="s">
        <v>61</v>
      </c>
      <c r="C42" s="14">
        <f>[139]NºAsuntos!$E$36/Población!$V$42*1000</f>
        <v>83.652829640787843</v>
      </c>
      <c r="D42" s="14">
        <f>[139]NºAsuntos!$E$17/Población!$V$42*1000</f>
        <v>30.900019207588663</v>
      </c>
      <c r="E42" s="14">
        <f>[139]NºAsuntos!$E$28/Población!$V$42*1000</f>
        <v>45.717085830697961</v>
      </c>
      <c r="F42" s="14">
        <f>[139]NºAsuntos!$E$31/Población!$V$42*1000</f>
        <v>1.7680056019612913</v>
      </c>
      <c r="G42" s="14">
        <f>[139]NºAsuntos!$E$35/Población!$V$42*1000</f>
        <v>5.2677190005399295</v>
      </c>
    </row>
    <row r="43" spans="2:7" ht="20.100000000000001" customHeight="1" thickBot="1" x14ac:dyDescent="0.25">
      <c r="B43" s="9" t="s">
        <v>62</v>
      </c>
      <c r="C43" s="14">
        <f>[140]NºAsuntos!$E$36/Población!$V$43*1000</f>
        <v>100.69460296755258</v>
      </c>
      <c r="D43" s="14">
        <f>[140]NºAsuntos!$E$17/Población!$V$43*1000</f>
        <v>50.520136963965435</v>
      </c>
      <c r="E43" s="14">
        <f>[140]NºAsuntos!$E$28/Población!$V$43*1000</f>
        <v>37.475949779879343</v>
      </c>
      <c r="F43" s="14">
        <f>[140]NºAsuntos!$E$31/Población!$V$43*1000</f>
        <v>1.9077123756725909</v>
      </c>
      <c r="G43" s="14">
        <f>[140]NºAsuntos!$E$35/Población!$V$43*1000</f>
        <v>10.790803848035219</v>
      </c>
    </row>
    <row r="44" spans="2:7" ht="20.100000000000001" customHeight="1" thickBot="1" x14ac:dyDescent="0.25">
      <c r="B44" s="9" t="s">
        <v>63</v>
      </c>
      <c r="C44" s="14">
        <f>[141]NºAsuntos!$E$36/Población!$V$44*1000</f>
        <v>99.762351781737877</v>
      </c>
      <c r="D44" s="14">
        <f>[141]NºAsuntos!$E$17/Población!$V$44*1000</f>
        <v>43.469040238022473</v>
      </c>
      <c r="E44" s="14">
        <f>[141]NºAsuntos!$E$28/Población!$V$44*1000</f>
        <v>45.988984599646962</v>
      </c>
      <c r="F44" s="14">
        <f>[141]NºAsuntos!$E$31/Población!$V$44*1000</f>
        <v>1.8026334666076185</v>
      </c>
      <c r="G44" s="14">
        <f>[141]NºAsuntos!$E$35/Población!$V$44*1000</f>
        <v>8.5016934774608437</v>
      </c>
    </row>
    <row r="45" spans="2:7" ht="20.100000000000001" customHeight="1" thickBot="1" x14ac:dyDescent="0.25">
      <c r="B45" s="9" t="s">
        <v>64</v>
      </c>
      <c r="C45" s="14">
        <f>[142]NºAsuntos!$E$36/Población!$V$45*1000</f>
        <v>169.53048675363485</v>
      </c>
      <c r="D45" s="14">
        <f>[142]NºAsuntos!$E$17/Población!$V$45*1000</f>
        <v>63.169667525739023</v>
      </c>
      <c r="E45" s="14">
        <f>[142]NºAsuntos!$E$28/Población!$V$45*1000</f>
        <v>90.30427075367021</v>
      </c>
      <c r="F45" s="14">
        <f>[142]NºAsuntos!$E$31/Población!$V$45*1000</f>
        <v>2.3588387935264552</v>
      </c>
      <c r="G45" s="14">
        <f>[142]NºAsuntos!$E$35/Población!$V$45*1000</f>
        <v>13.697709680699164</v>
      </c>
    </row>
    <row r="46" spans="2:7" ht="20.100000000000001" customHeight="1" thickBot="1" x14ac:dyDescent="0.25">
      <c r="B46" s="9" t="s">
        <v>65</v>
      </c>
      <c r="C46" s="14">
        <f>[143]NºAsuntos!$E$36/Población!$V$46*1000</f>
        <v>111.49683522881126</v>
      </c>
      <c r="D46" s="14">
        <f>[143]NºAsuntos!$E$17/Población!$V$46*1000</f>
        <v>53.272238017871651</v>
      </c>
      <c r="E46" s="14">
        <f>[143]NºAsuntos!$E$28/Población!$V$46*1000</f>
        <v>47.625998510695915</v>
      </c>
      <c r="F46" s="14">
        <f>[143]NºAsuntos!$E$31/Población!$V$46*1000</f>
        <v>2.0446198889791494</v>
      </c>
      <c r="G46" s="14">
        <f>[143]NºAsuntos!$E$35/Población!$V$46*1000</f>
        <v>8.5539788112645549</v>
      </c>
    </row>
    <row r="47" spans="2:7" ht="20.100000000000001" customHeight="1" thickBot="1" x14ac:dyDescent="0.25">
      <c r="B47" s="9" t="s">
        <v>30</v>
      </c>
      <c r="C47" s="14">
        <f>[144]NºAsuntos!$E$36/Población!$V$47*1000</f>
        <v>79.440099526747815</v>
      </c>
      <c r="D47" s="14">
        <f>[144]NºAsuntos!$E$17/Población!$V$47*1000</f>
        <v>37.42568315234719</v>
      </c>
      <c r="E47" s="14">
        <f>[144]NºAsuntos!$E$28/Población!$V$47*1000</f>
        <v>34.256081321855248</v>
      </c>
      <c r="F47" s="14">
        <f>[144]NºAsuntos!$E$31/Población!$V$47*1000</f>
        <v>2.0693061260213681</v>
      </c>
      <c r="G47" s="14">
        <f>[144]NºAsuntos!$E$35/Población!$V$47*1000</f>
        <v>5.6890289265240028</v>
      </c>
    </row>
    <row r="48" spans="2:7" ht="20.100000000000001" customHeight="1" thickBot="1" x14ac:dyDescent="0.25">
      <c r="B48" s="9" t="s">
        <v>66</v>
      </c>
      <c r="C48" s="14">
        <f>[145]NºAsuntos!$E$36/Población!$V$48*1000</f>
        <v>84.450788926179584</v>
      </c>
      <c r="D48" s="14">
        <f>[145]NºAsuntos!$E$17/Población!$V$48*1000</f>
        <v>38.536652037236713</v>
      </c>
      <c r="E48" s="14">
        <f>[145]NºAsuntos!$E$28/Población!$V$48*1000</f>
        <v>38.679402876277543</v>
      </c>
      <c r="F48" s="14">
        <f>[145]NºAsuntos!$E$31/Población!$V$48*1000</f>
        <v>1.6826375495451715</v>
      </c>
      <c r="G48" s="14">
        <f>[145]NºAsuntos!$E$35/Población!$V$48*1000</f>
        <v>5.5520964631201695</v>
      </c>
    </row>
    <row r="49" spans="2:7" ht="20.100000000000001" customHeight="1" thickBot="1" x14ac:dyDescent="0.25">
      <c r="B49" s="9" t="s">
        <v>67</v>
      </c>
      <c r="C49" s="14">
        <f>[146]NºAsuntos!$E$36/Población!$V$49*1000</f>
        <v>125.88921098645118</v>
      </c>
      <c r="D49" s="14">
        <f>[146]NºAsuntos!$E$17/Población!$V$49*1000</f>
        <v>50.975847149021853</v>
      </c>
      <c r="E49" s="14">
        <f>[146]NºAsuntos!$E$28/Población!$V$49*1000</f>
        <v>63.871021459736788</v>
      </c>
      <c r="F49" s="14">
        <f>[146]NºAsuntos!$E$31/Población!$V$49*1000</f>
        <v>2.8864365237580714</v>
      </c>
      <c r="G49" s="14">
        <f>[146]NºAsuntos!$E$35/Población!$V$49*1000</f>
        <v>8.1559058539344438</v>
      </c>
    </row>
    <row r="50" spans="2:7" ht="20.100000000000001" customHeight="1" thickBot="1" x14ac:dyDescent="0.25">
      <c r="B50" s="9" t="s">
        <v>68</v>
      </c>
      <c r="C50" s="14">
        <f>[147]NºAsuntos!$E$36/Población!$V$50*1000</f>
        <v>92.951432778639273</v>
      </c>
      <c r="D50" s="14">
        <f>[147]NºAsuntos!$E$17/Población!$V$50*1000</f>
        <v>35.39921031027248</v>
      </c>
      <c r="E50" s="14">
        <f>[147]NºAsuntos!$E$28/Población!$V$50*1000</f>
        <v>50.007167150992331</v>
      </c>
      <c r="F50" s="14">
        <f>[147]NºAsuntos!$E$31/Población!$V$50*1000</f>
        <v>1.5507108510666026</v>
      </c>
      <c r="G50" s="14">
        <f>[147]NºAsuntos!$E$35/Población!$V$50*1000</f>
        <v>5.9943444663078749</v>
      </c>
    </row>
    <row r="51" spans="2:7" ht="20.100000000000001" customHeight="1" thickBot="1" x14ac:dyDescent="0.25">
      <c r="B51" s="9" t="s">
        <v>69</v>
      </c>
      <c r="C51" s="14">
        <f>[148]NºAsuntos!$E$36/Población!$V$51*1000</f>
        <v>113.22164331287922</v>
      </c>
      <c r="D51" s="14">
        <f>[148]NºAsuntos!$E$17/Población!$V$51*1000</f>
        <v>43.634073916826779</v>
      </c>
      <c r="E51" s="14">
        <f>[148]NºAsuntos!$E$28/Población!$V$51*1000</f>
        <v>60.97417777182973</v>
      </c>
      <c r="F51" s="14">
        <f>[148]NºAsuntos!$E$31/Población!$V$51*1000</f>
        <v>2.3356351261063502</v>
      </c>
      <c r="G51" s="14">
        <f>[148]NºAsuntos!$E$35/Población!$V$51*1000</f>
        <v>6.277756498116366</v>
      </c>
    </row>
    <row r="52" spans="2:7" ht="20.100000000000001" customHeight="1" thickBot="1" x14ac:dyDescent="0.25">
      <c r="B52" s="9" t="s">
        <v>70</v>
      </c>
      <c r="C52" s="14">
        <f>[149]NºAsuntos!$E$36/Población!$V$52*1000</f>
        <v>93.830160658836235</v>
      </c>
      <c r="D52" s="14">
        <f>[149]NºAsuntos!$E$17/Población!$V$52*1000</f>
        <v>38.623374285585712</v>
      </c>
      <c r="E52" s="14">
        <f>[149]NºAsuntos!$E$28/Población!$V$52*1000</f>
        <v>48.973943566896182</v>
      </c>
      <c r="F52" s="14">
        <f>[149]NºAsuntos!$E$31/Población!$V$52*1000</f>
        <v>1.5863372485486702</v>
      </c>
      <c r="G52" s="14">
        <f>[149]NºAsuntos!$E$35/Población!$V$52*1000</f>
        <v>4.6465055578056793</v>
      </c>
    </row>
    <row r="53" spans="2:7" ht="20.100000000000001" customHeight="1" thickBot="1" x14ac:dyDescent="0.25">
      <c r="B53" s="9" t="s">
        <v>71</v>
      </c>
      <c r="C53" s="14">
        <f>[150]NºAsuntos!$E$36/Población!$V$53*1000</f>
        <v>123.8827971575911</v>
      </c>
      <c r="D53" s="14">
        <f>[150]NºAsuntos!$E$17/Población!$V$53*1000</f>
        <v>44.165323982702638</v>
      </c>
      <c r="E53" s="14">
        <f>[150]NºAsuntos!$E$28/Población!$V$53*1000</f>
        <v>73.036294094312737</v>
      </c>
      <c r="F53" s="14">
        <f>[150]NºAsuntos!$E$31/Población!$V$53*1000</f>
        <v>1.0345604403676913</v>
      </c>
      <c r="G53" s="14">
        <f>[150]NºAsuntos!$E$35/Población!$V$53*1000</f>
        <v>5.6466186402080387</v>
      </c>
    </row>
    <row r="54" spans="2:7" ht="20.100000000000001" customHeight="1" thickBot="1" x14ac:dyDescent="0.25">
      <c r="B54" s="9" t="s">
        <v>72</v>
      </c>
      <c r="C54" s="14">
        <f>[151]NºAsuntos!$E$36/Población!$V$54*1000</f>
        <v>68.90203911280706</v>
      </c>
      <c r="D54" s="14">
        <f>[151]NºAsuntos!$E$17/Población!$V$54*1000</f>
        <v>26.003160028619128</v>
      </c>
      <c r="E54" s="14">
        <f>[151]NºAsuntos!$E$28/Población!$V$54*1000</f>
        <v>38.814691151919867</v>
      </c>
      <c r="F54" s="14">
        <f>[151]NºAsuntos!$E$31/Población!$V$54*1000</f>
        <v>1.0881230622466014</v>
      </c>
      <c r="G54" s="14">
        <f>[151]NºAsuntos!$E$35/Población!$V$54*1000</f>
        <v>2.9960648700214643</v>
      </c>
    </row>
    <row r="55" spans="2:7" ht="20.100000000000001" customHeight="1" thickBot="1" x14ac:dyDescent="0.25">
      <c r="B55" s="9" t="s">
        <v>73</v>
      </c>
      <c r="C55" s="14">
        <f>[152]NºAsuntos!$E$36/Población!$V$55*1000</f>
        <v>88.20612357411207</v>
      </c>
      <c r="D55" s="14">
        <f>[152]NºAsuntos!$E$17/Población!$V$55*1000</f>
        <v>39.477273889839317</v>
      </c>
      <c r="E55" s="14">
        <f>[152]NºAsuntos!$E$28/Población!$V$55*1000</f>
        <v>42.394411826557459</v>
      </c>
      <c r="F55" s="14">
        <f>[152]NºAsuntos!$E$31/Población!$V$55*1000</f>
        <v>1.5104323559334558</v>
      </c>
      <c r="G55" s="14">
        <f>[152]NºAsuntos!$E$35/Población!$V$55*1000</f>
        <v>4.8240055017818273</v>
      </c>
    </row>
    <row r="56" spans="2:7" ht="20.100000000000001" customHeight="1" thickBot="1" x14ac:dyDescent="0.25">
      <c r="B56" s="9" t="s">
        <v>74</v>
      </c>
      <c r="C56" s="14">
        <f>[153]NºAsuntos!$E$36/Población!$V$56*1000</f>
        <v>116.76296117675427</v>
      </c>
      <c r="D56" s="14">
        <f>[153]NºAsuntos!$E$17/Población!$V$56*1000</f>
        <v>51.150229081263561</v>
      </c>
      <c r="E56" s="14">
        <f>[153]NºAsuntos!$E$28/Población!$V$56*1000</f>
        <v>56.199469496021216</v>
      </c>
      <c r="F56" s="14">
        <f>[153]NºAsuntos!$E$31/Población!$V$56*1000</f>
        <v>2.0213166144200625</v>
      </c>
      <c r="G56" s="14">
        <f>[153]NºAsuntos!$E$35/Población!$V$56*1000</f>
        <v>7.3919459850494329</v>
      </c>
    </row>
    <row r="57" spans="2:7" ht="20.100000000000001" customHeight="1" thickBot="1" x14ac:dyDescent="0.25">
      <c r="B57" s="9" t="s">
        <v>75</v>
      </c>
      <c r="C57" s="14">
        <f>[154]NºAsuntos!$E$36/Población!$V$57*1000</f>
        <v>96.210690887718982</v>
      </c>
      <c r="D57" s="14">
        <f>[154]NºAsuntos!$E$17/Población!$V$57*1000</f>
        <v>49.407566325874051</v>
      </c>
      <c r="E57" s="14">
        <f>[154]NºAsuntos!$E$28/Población!$V$57*1000</f>
        <v>37.919980639547951</v>
      </c>
      <c r="F57" s="14">
        <f>[154]NºAsuntos!$E$31/Población!$V$57*1000</f>
        <v>1.793914902362244</v>
      </c>
      <c r="G57" s="14">
        <f>[154]NºAsuntos!$E$35/Población!$V$57*1000</f>
        <v>7.0892290199347352</v>
      </c>
    </row>
    <row r="58" spans="2:7" ht="20.100000000000001" customHeight="1" thickBot="1" x14ac:dyDescent="0.25">
      <c r="B58" s="9" t="s">
        <v>76</v>
      </c>
      <c r="C58" s="14">
        <f>[155]NºAsuntos!$E$36/Población!$V$58*1000</f>
        <v>94.783923839894953</v>
      </c>
      <c r="D58" s="14">
        <f>[155]NºAsuntos!$E$17/Población!$V$58*1000</f>
        <v>41.339367364644644</v>
      </c>
      <c r="E58" s="14">
        <f>[155]NºAsuntos!$E$28/Población!$V$58*1000</f>
        <v>45.161441601988415</v>
      </c>
      <c r="F58" s="14">
        <f>[155]NºAsuntos!$E$31/Población!$V$58*1000</f>
        <v>1.8993129645696063</v>
      </c>
      <c r="G58" s="14">
        <f>[155]NºAsuntos!$E$35/Población!$V$58*1000</f>
        <v>6.3838019086922877</v>
      </c>
    </row>
    <row r="59" spans="2:7" ht="20.100000000000001" customHeight="1" thickBot="1" x14ac:dyDescent="0.25">
      <c r="B59" s="9" t="s">
        <v>77</v>
      </c>
      <c r="C59" s="14">
        <f>[156]NºAsuntos!$E$36/Población!$V$59*1000</f>
        <v>96.381800832469608</v>
      </c>
      <c r="D59" s="14">
        <f>[156]NºAsuntos!$E$17/Población!$V$59*1000</f>
        <v>37.46730171264992</v>
      </c>
      <c r="E59" s="14">
        <f>[156]NºAsuntos!$E$28/Población!$V$59*1000</f>
        <v>50.94557688827468</v>
      </c>
      <c r="F59" s="14">
        <f>[156]NºAsuntos!$E$31/Población!$V$59*1000</f>
        <v>1.5855584620699865</v>
      </c>
      <c r="G59" s="14">
        <f>[156]NºAsuntos!$E$35/Población!$V$59*1000</f>
        <v>6.383363769475018</v>
      </c>
    </row>
    <row r="60" spans="2:7" ht="20.100000000000001" customHeight="1" thickBot="1" x14ac:dyDescent="0.25">
      <c r="B60" s="9" t="s">
        <v>78</v>
      </c>
      <c r="C60" s="14">
        <f>[157]NºAsuntos!$E$61/Población!$V$60*1000</f>
        <v>155.50699508325218</v>
      </c>
      <c r="D60" s="14">
        <f>[157]NºAsuntos!$E$21/Población!$V$60*1000</f>
        <v>38.265124343839815</v>
      </c>
      <c r="E60" s="14">
        <f>[157]NºAsuntos!$E$40/Población!$V$60*1000</f>
        <v>101.14961639866037</v>
      </c>
      <c r="F60" s="14">
        <f>[157]NºAsuntos!$E$47/Población!$V$60*1000</f>
        <v>8.8715232417282248</v>
      </c>
      <c r="G60" s="14">
        <f>[157]NºAsuntos!$E$54/Población!$V$60*1000</f>
        <v>7.2207310990237765</v>
      </c>
    </row>
    <row r="61" spans="2:7" ht="20.100000000000001" customHeight="1" thickBot="1" x14ac:dyDescent="0.25">
      <c r="B61" s="9" t="s">
        <v>79</v>
      </c>
      <c r="C61" s="14">
        <f>[158]NºAsuntos!$E$61/Población!$V$61*1000</f>
        <v>148.82401580228765</v>
      </c>
      <c r="D61" s="14">
        <f>[158]NºAsuntos!$E$21/Población!$V$61*1000</f>
        <v>37.599338508888785</v>
      </c>
      <c r="E61" s="14">
        <f>[158]NºAsuntos!$E$40/Población!$V$61*1000</f>
        <v>85.17846478937939</v>
      </c>
      <c r="F61" s="14">
        <f>[158]NºAsuntos!$E$47/Población!$V$61*1000</f>
        <v>18.099131792916531</v>
      </c>
      <c r="G61" s="14">
        <f>[158]NºAsuntos!$E$54/Población!$V$61*1000</f>
        <v>7.9470807111029442</v>
      </c>
    </row>
    <row r="62" spans="2:7" ht="20.100000000000001" customHeight="1" thickBot="1" x14ac:dyDescent="0.25">
      <c r="B62" s="12" t="s">
        <v>6</v>
      </c>
      <c r="C62" s="15">
        <f>[159]NºAsuntos!$E$60/Población!$V$62*1000</f>
        <v>116.54080822038915</v>
      </c>
      <c r="D62" s="15">
        <f>[159]NºAsuntos!$E$20/Población!$V$62*1000</f>
        <v>46.68355925332758</v>
      </c>
      <c r="E62" s="15">
        <f>[159]NºAsuntos!$E$39/Población!$V$62*1000</f>
        <v>57.327216540839828</v>
      </c>
      <c r="F62" s="15">
        <f>[159]NºAsuntos!$E$46/Población!$V$62*1000</f>
        <v>4.092744916075695</v>
      </c>
      <c r="G62" s="15">
        <f>[159]NºAsuntos!$E$53/Población!$V$62*1000</f>
        <v>8.4336627025953934</v>
      </c>
    </row>
  </sheetData>
  <pageMargins left="0.75" right="0.75" top="1" bottom="1" header="0" footer="0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7B74C54566B6746BABA9F3C93DBFEE1" ma:contentTypeVersion="0" ma:contentTypeDescription="Crear nuevo documento." ma:contentTypeScope="" ma:versionID="4719a4e4488bbfbfba9409ffbb2c32e4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67E6BC-A133-43B3-899F-32FF9E2A21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1B880FCF-3EA0-4AE2-9E6B-CDC8FE20CAB9}">
  <ds:schemaRefs>
    <ds:schemaRef ds:uri="http://www.w3.org/XML/1998/namespace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8712697-E184-4CEA-8F33-2FB965E3A6F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Introducción</vt:lpstr>
      <vt:lpstr>Serie Total</vt:lpstr>
      <vt:lpstr>Serie civil</vt:lpstr>
      <vt:lpstr>Serie penal</vt:lpstr>
      <vt:lpstr>Serie contencioso</vt:lpstr>
      <vt:lpstr>Serie social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Población</vt:lpstr>
      <vt:lpstr>Poblacion INE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ivillan</dc:creator>
  <cp:lastModifiedBy>Jesús María Martínez Taboada</cp:lastModifiedBy>
  <dcterms:created xsi:type="dcterms:W3CDTF">2011-03-08T09:05:44Z</dcterms:created>
  <dcterms:modified xsi:type="dcterms:W3CDTF">2023-05-22T14:32:57Z</dcterms:modified>
</cp:coreProperties>
</file>